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firstSheet="2" activeTab="2"/>
  </bookViews>
  <sheets>
    <sheet name="USD 19-21" sheetId="1" state="hidden" r:id="rId1"/>
    <sheet name="Приложение 7" sheetId="2" state="hidden" r:id="rId2"/>
    <sheet name="Лист1" sheetId="3" r:id="rId3"/>
    <sheet name="KGS" sheetId="4" state="hidden" r:id="rId4"/>
    <sheet name="KGS 16-18" sheetId="5" state="hidden" r:id="rId5"/>
    <sheet name="Послед. KGS" sheetId="6" state="hidden" r:id="rId6"/>
  </sheets>
  <definedNames>
    <definedName name="_xlnm.Print_Titles" localSheetId="3">'KGS'!$13:$14</definedName>
    <definedName name="_xlnm.Print_Titles" localSheetId="4">'KGS 16-18'!$13:$14</definedName>
    <definedName name="_xlnm.Print_Titles" localSheetId="0">'USD 19-21'!$12:$13</definedName>
    <definedName name="_xlnm.Print_Titles" localSheetId="5">'Послед. KGS'!$13:$14</definedName>
    <definedName name="_xlnm.Print_Titles" localSheetId="1">'Приложение 7'!$12:$13</definedName>
    <definedName name="_xlnm.Print_Area" localSheetId="3">'KGS'!$A$1:$AO$280</definedName>
    <definedName name="_xlnm.Print_Area" localSheetId="4">'KGS 16-18'!$A$1:$O$234</definedName>
    <definedName name="_xlnm.Print_Area" localSheetId="0">'USD 19-21'!$A$1:$N$247</definedName>
    <definedName name="_xlnm.Print_Area" localSheetId="5">'Послед. KGS'!$A$1:$K$259</definedName>
    <definedName name="_xlnm.Print_Area" localSheetId="1">'Приложение 7'!$A$1:$K$293</definedName>
  </definedNames>
  <calcPr fullCalcOnLoad="1" refMode="R1C1"/>
</workbook>
</file>

<file path=xl/sharedStrings.xml><?xml version="1.0" encoding="utf-8"?>
<sst xmlns="http://schemas.openxmlformats.org/spreadsheetml/2006/main" count="1584" uniqueCount="545">
  <si>
    <t>Классификация</t>
  </si>
  <si>
    <t>Наименование проекта</t>
  </si>
  <si>
    <t>Министерство финансов КР</t>
  </si>
  <si>
    <t>Программа государственных инвестиций</t>
  </si>
  <si>
    <t>Устойчивое развитие Иссык-Куля (АБР)</t>
  </si>
  <si>
    <t>Устойчивое развитие Иссык-Куля (АБР) (грант)</t>
  </si>
  <si>
    <t>Устойчивое развитие Иссык-Куля (АБР) (кредит)</t>
  </si>
  <si>
    <t>Министерство образования и науки КР</t>
  </si>
  <si>
    <t>Министерство здравоохранения КР</t>
  </si>
  <si>
    <t>Развитие сектора энергетики (АБР) (грант)</t>
  </si>
  <si>
    <t>Развитие сектора энергетики (АБР) (кредит)</t>
  </si>
  <si>
    <t>Министерство транспорта и коммуникаций КР</t>
  </si>
  <si>
    <t>Министерство чрезвычайных ситуаций КР</t>
  </si>
  <si>
    <t xml:space="preserve">И  Т  О  Г  О </t>
  </si>
  <si>
    <t xml:space="preserve">В общей сумме внешнее финансирование за счёт средств кредитов </t>
  </si>
  <si>
    <t xml:space="preserve">В общей сумме внешнее финансирование за счёт средств грантов </t>
  </si>
  <si>
    <t xml:space="preserve">Министерство сельского хозяйства и мелиорации КР </t>
  </si>
  <si>
    <t>Создание национальной системы экстренной медицины (КфВ) - 2 (грант)</t>
  </si>
  <si>
    <t>Управление бытовыми отходами г. Ош (ЕБРР) (кредит) (план)</t>
  </si>
  <si>
    <t>Управление бытовыми отходами г. Джалал-Абад (ЕБРР) (кредит) (план)</t>
  </si>
  <si>
    <t>Улучшение системы водоснабжения г. Токмок (Швейцария) (грант) (план)</t>
  </si>
  <si>
    <t>Улучшение системы водоснабжения г. Токмок (ЕБРР) (кредит) (план)</t>
  </si>
  <si>
    <t>Улучшение системы водоснабжения г. Нарын (ЕБРР) (кредит) (план)</t>
  </si>
  <si>
    <t>Улучшение системы водоснабжения г. Баткен (ЕБРР) (кредит) (план)</t>
  </si>
  <si>
    <t>Развитие городского транспорта г. Ош (ЕБРР) (кредит) (план)</t>
  </si>
  <si>
    <t>Развитие бишкекского городского транспорта 2 (автобусы) (ЕБРР) (кредит) (план)</t>
  </si>
  <si>
    <t xml:space="preserve">Внешнее </t>
  </si>
  <si>
    <t>Второй проект профессионального образования и развития навыков (АБР) (грант)</t>
  </si>
  <si>
    <t>Доп фин. для второго проекта внутрихозяйственного орошения (ВБ) (кредит)</t>
  </si>
  <si>
    <t>Улучшение системы водоснабжения г. Нарын (ЕБРР) (грант) (план)</t>
  </si>
  <si>
    <t>Улучшение системы водоснабжения г. Баткен (ЕБРР) (грант) (план)</t>
  </si>
  <si>
    <t>Развитие бишкекского городского транспорта 2 (автобусы) (ЕБРР) (грант) (план)</t>
  </si>
  <si>
    <t>Развитие городского транспорта г. Ош (ЕБРР) (грант) (план)</t>
  </si>
  <si>
    <t>Устойчивое развитие Иссык-Куля 2 (АБР) (план)</t>
  </si>
  <si>
    <t>Устойчивое развитие Иссык-Куля 2 (АБР) (грант) (план)</t>
  </si>
  <si>
    <t>Устойчивое развитие Иссык-Куля 2 (АБР) (кредит) (план)</t>
  </si>
  <si>
    <t>Строительство линии электропередачи 500 кВ «Датка-Кемин» и подстанции 500 кВ «Кемин» (КНР) (кредит)</t>
  </si>
  <si>
    <t>Реабилитация автомобильной дороги «Ош-Баткен-Исфана» (ИБР) (план)</t>
  </si>
  <si>
    <t>Второй проект профессионального образования и развития навыков (АБР)</t>
  </si>
  <si>
    <t>Второй проект профессионального образования и развития навыков (АБР) (кредит)</t>
  </si>
  <si>
    <t>Чрезвычайная помощь для восстановления и реконструкции (АБР) (кредит)</t>
  </si>
  <si>
    <t xml:space="preserve">Министерство экономики КР </t>
  </si>
  <si>
    <t>Повышение эффективности электрораспределительных сетей (КфВ) (кредит)</t>
  </si>
  <si>
    <t>Чрезвычайная помощь для восстановления и реконструкции (АБР)</t>
  </si>
  <si>
    <t>Реабилитация автодороги «Бишкек-Нарын-Торугарт» (ИБР) (кредит)</t>
  </si>
  <si>
    <t>Реабилитация автодороги «Бишкек-Нарын-Торугарт» (СФР) (кредит)</t>
  </si>
  <si>
    <t>Реабилитация автодороги «Бишкек-Нарын-Торугарт» (ФР А-Д) (кредит)</t>
  </si>
  <si>
    <t>Реабилитация автодороги «Бишкек-Нарын-Торугарт» (ОПЕК) (кредит)</t>
  </si>
  <si>
    <t>Реабилитация сектора энергетики (АБР) (грант)</t>
  </si>
  <si>
    <t>Реабилитация сектора энергетики (АБР) (кредит)</t>
  </si>
  <si>
    <t>Развитие животноводства и рынка (МФСР)</t>
  </si>
  <si>
    <t>Развитие животноводства и рынка (МФСР) (грант)</t>
  </si>
  <si>
    <t>Развитие животноводства и рынка (МФСР) (кредит)</t>
  </si>
  <si>
    <t>Проект CASA-1000 (ВБ) (грант) (план)</t>
  </si>
  <si>
    <t>Проект CASA-1000 (ВБ) (кредит) (план)</t>
  </si>
  <si>
    <t>Региональный проект по здоровью животных (ВБ) (грант) (план)</t>
  </si>
  <si>
    <t>Региональный проект по здоровью животных (ВБ) (кредит) (план)</t>
  </si>
  <si>
    <t>Охрана материнства и детства VI (КфВ) (грант) (план)</t>
  </si>
  <si>
    <t>Проект «Здравоохранение и социальная защита» - 3 (КфВ) (грант) (план)</t>
  </si>
  <si>
    <t>Охрана материнства и детства IV-V (КфВ) (грант) (план)</t>
  </si>
  <si>
    <t>Проект «Управление лесным хозяйством в условиях изменения климата» (ВБ) (грант) (план)</t>
  </si>
  <si>
    <t>Проект «Управление лесным хозяйством в условиях изменения климата» (ВБ) (кредит) (план)</t>
  </si>
  <si>
    <t>Проект сельских инвестиций - 3 (ВБ) (грант) (план)</t>
  </si>
  <si>
    <t>Проект сельских инвестиций - 3 (ВБ) (кредит) (план)</t>
  </si>
  <si>
    <t>Реабилитация сектора энергетики 2 (АБР) (кредит) (план)</t>
  </si>
  <si>
    <t>Реабилитация сектора энергетики 3 (АБР) (кредит) (план)</t>
  </si>
  <si>
    <t>Охрана материнства и детства VII (КфВ) (грант) (план)</t>
  </si>
  <si>
    <t>Проект «Повышение подотчетности и надежности электроснабжения» (ВБ) (грант) (план)</t>
  </si>
  <si>
    <t>Проект «Повышение подотчетности и надежности электроснабжения» (ВБ) (кредит) (план)</t>
  </si>
  <si>
    <t>Управление бытовыми отходами г. Ош (ИФЕС) (грант) (план)</t>
  </si>
  <si>
    <t>Управление бытовыми отходами г. Джалал-Абад (ИФЕС) (грант) (план)</t>
  </si>
  <si>
    <t>Повышение эффективности электрораспределительных сетей (КфВ) (грант)</t>
  </si>
  <si>
    <t>Финансирование поставок сельскохозяйственной техники в КР (АКФ ЕврАзЭС) (кредит)</t>
  </si>
  <si>
    <t>III</t>
  </si>
  <si>
    <t>IV</t>
  </si>
  <si>
    <t>V</t>
  </si>
  <si>
    <t>Повышение производительности в сельском хозяйстве и улучшение питания (Глобальный фонд по с/х и продовольственной безопасности) (грант) (план)</t>
  </si>
  <si>
    <t>Улучшение электроснабжения Аркинского массива Лейлекского района (ИБР) (кредит)</t>
  </si>
  <si>
    <t>Модернизация гидрометеорологического обслуживания в ЦА (ВБ) (грант) (план)</t>
  </si>
  <si>
    <t>Модернизация гидрометеорологического обслуживания в ЦА (ВБ) (кредит) (план)</t>
  </si>
  <si>
    <t>Улучшение системы водоснабжения и канализации г. Джалал-Абад (Швейцария) (грант)</t>
  </si>
  <si>
    <t>Улучшение системы водоснабжения и канализации г. Джалал-Абад (ЕБРР) (кредит)</t>
  </si>
  <si>
    <t>Рекредитуемые  кредиты</t>
  </si>
  <si>
    <t>Рекредитуемые гранты</t>
  </si>
  <si>
    <t>Всего рекредитуемые</t>
  </si>
  <si>
    <t>Нерекредитуемые кредиты</t>
  </si>
  <si>
    <t>Нерекредитуемые гранты</t>
  </si>
  <si>
    <t>Всего нерекредитуемые</t>
  </si>
  <si>
    <t>Проект «Реформирование судебной системы» (ВБ) (план)</t>
  </si>
  <si>
    <t>Проект «Реформирование судебной системы» (ВБ) (грант) (план)</t>
  </si>
  <si>
    <t>Проект «Реформирование судебной системы» (ВБ) (кредит) (план)</t>
  </si>
  <si>
    <t>Министерство юстиции КР</t>
  </si>
  <si>
    <t>Развитие животноводства и рынка - 2 (МФСР)</t>
  </si>
  <si>
    <t>Развитие животноводства и рынка - 2 (МФСР) (кредит)</t>
  </si>
  <si>
    <t>Государственное агентство по делам местного самоуправления и межэтнических отношений при ПКР</t>
  </si>
  <si>
    <t>Улучшение электроснабжения г. Бишкек и г. Ош (ИБР) (кредит)</t>
  </si>
  <si>
    <t>Строительство альтернативной дороги «Север-Юг» 2 (КНР) (кредит) (план)</t>
  </si>
  <si>
    <t>Строительство альтернативной дороги «Север-Юг» (КНР) (кредит)</t>
  </si>
  <si>
    <t>Развитие финансового сектора (ВБ) (грант)</t>
  </si>
  <si>
    <t>Развитие финансового сектора (ВБ) (кредит)</t>
  </si>
  <si>
    <t>Региональное улучшение приграничных служб (АБР) (кредит)</t>
  </si>
  <si>
    <t>Региональное улучшение приграничных служб (АБР) (грант)</t>
  </si>
  <si>
    <t>Региональное улучшение приграничных служб (АБР)</t>
  </si>
  <si>
    <t>Реабилитация сектора энергетики (АБР)</t>
  </si>
  <si>
    <t xml:space="preserve">Внутреннее </t>
  </si>
  <si>
    <t>Поддержка реформ в секторе образования (ВБ) (грант)</t>
  </si>
  <si>
    <t>Поддержка реформ в секторе образования (ВБ) (кредит)</t>
  </si>
  <si>
    <t>Развитие женского предпринимательства (АБР) (грант)</t>
  </si>
  <si>
    <t>Развитие женского предпринимательства (АБР)</t>
  </si>
  <si>
    <t>Реабилитация автодороги «Бишкек-Нарын-Торугарт» (ИБР, СФР, КФАЭР, ОПЕК, ФР А-Д)</t>
  </si>
  <si>
    <t>Реконструкция автодороги Тараз-Талас-Суусамыр 3 (ИБР, СФР)</t>
  </si>
  <si>
    <t>Реконструкция автодороги Тараз-Талас-Суусамыр 3 (ИБР) (кредит)</t>
  </si>
  <si>
    <t>Реконструкция автодороги Тараз-Талас-Суусамыр 3 (СФР) (кредит)</t>
  </si>
  <si>
    <t>Реабилитация автомобильной дороги «Ош-Баткен-Исфана» (ИБР) (кредит) (план)</t>
  </si>
  <si>
    <t>Реабилитация автодороги «Бишкек-Нарын-Торугарт» (КФАЭР) (кредит)</t>
  </si>
  <si>
    <t>Третий проект "ЦАРЭС Транспортный коридор 1 (дорога Бишкек-Торугарт)" (АБР)</t>
  </si>
  <si>
    <t>Третий проект "ЦАРЭС Транспортный коридор 1 (дорога Бишкек-Торугарт)" (АБР) (кредит)</t>
  </si>
  <si>
    <t>Проект реабилитации двух участков автодорог в Кыргызской Республике (КНР) (кредит)</t>
  </si>
  <si>
    <t>Проект "Улучшение коридора ЦАРЭС 3" (автодорога Бишкек-Ош, участок Бишкек-Кара-Балта) Фаза 4 (АБР)</t>
  </si>
  <si>
    <t>Проект "Улучшение коридора ЦАРЭС 3" (автодорога Бишкек-Ош, участок Бишкек-Кара-Балта) Фаза 4 (АБР) (грант)</t>
  </si>
  <si>
    <t>Проект "Улучшение коридора ЦАРЭС 3" (автодорога Бишкек-Ош, участок Бишкек-Кара-Балта) Фаза 4 (АБР) (кредит)</t>
  </si>
  <si>
    <t>Проект "Улучшение автодороги Бишкек-Ош" Фаза 4 (АКФ ЕАБР)</t>
  </si>
  <si>
    <t>Проект "Улучшение автодороги Бишкек-Ош" Фаза 4 (АКФ ЕАБР) (кредит)</t>
  </si>
  <si>
    <t>Проект "Улучшение дорожных путей сообщения в ЦА" (Дор. Ош-Худжант) (ВБ)</t>
  </si>
  <si>
    <t>Проект "Улучшение дорожных путей сообщения в ЦА" (Дор. Ош-Худжант) (ВБ) (грант)</t>
  </si>
  <si>
    <t>Проект "Улучшение дорожных путей сообщения в ЦА" (Дор. Ош-Худжант) (ВБ) (кредит)</t>
  </si>
  <si>
    <t>Проект "Улучшение основных международных дорог" (JICA)</t>
  </si>
  <si>
    <t>Проект "Улучшение основных международных дорог" (JICA) (кредит)</t>
  </si>
  <si>
    <t>Проект сельских инвестиций - 3 (КфВ) (грант) (план)</t>
  </si>
  <si>
    <t>Проект сельских инвестиций - 3 (КфВ) (план)</t>
  </si>
  <si>
    <t>Проект «Улучшение управления пастбищами и животноводством» (ВБ) (грант) (план)</t>
  </si>
  <si>
    <t>Проект «Улучшение управления пастбищами и животноводством» (ВБ) (кредит) (план)</t>
  </si>
  <si>
    <t>Реабилитация сектора энергетики 2 (АБР) (грант) (план)</t>
  </si>
  <si>
    <t>Проект развития профессионально-технического образования, фаза 3 (АБР)</t>
  </si>
  <si>
    <t>Проект развития профессионально-технического образования, фаза 3 (АБР) (грант)</t>
  </si>
  <si>
    <t>Поддержка общественных семенных фондов (ВБ) (грант)</t>
  </si>
  <si>
    <t>Цепочка добавленной стоимости агрофинансирования (КфВ) (грант)</t>
  </si>
  <si>
    <t>Цепочка добавленной стоимости агрофинансирования (ЕИБ) (кредит)</t>
  </si>
  <si>
    <t>Финансирование проектов в с/х секторе и развитие сельских регионов в КР (Польша) (кредит)</t>
  </si>
  <si>
    <t>Реабилитация водоснабжения и канализации г. Бишкек 2 (ЕБРР) (кредит) (план)</t>
  </si>
  <si>
    <t>Улучшение системы управления твердыми отходами г. Бишкек  (ЕБРР) (кредит) (план)</t>
  </si>
  <si>
    <t>Реабилитация водоснабжения и канализации в г. Кара-Балта (ЕБРР) (кредит) (план)</t>
  </si>
  <si>
    <t>Реабилитация водоснабжения и канализации г. Бишкек 2 (Швейцария, ЕБРР) (грант) (план)</t>
  </si>
  <si>
    <t>Улучшение системы управления твердыми отходами г. Бишкек (ИФЕС, ЕБРР) (грант) (план)</t>
  </si>
  <si>
    <t>Реабилитация водоснабжения и канализации в г. Кара-Балта (ЕБРР) (грант) (план)</t>
  </si>
  <si>
    <t>Реабилитация водоснабжения и канализации г. Талас (ЕБРР, ИФЕС, специальный фонд по изменению климата Глобального экологического фонда) (грант) (план)</t>
  </si>
  <si>
    <t>Реабилитация водоснабжения и канализации г. Талас (ЕБРР) (кредит) (план)</t>
  </si>
  <si>
    <t>Реабилитация водоснабжения и канализации г. Кант (Швейцария) (грант) (план)</t>
  </si>
  <si>
    <t>Реабилитация водоснабжения и канализации г. Кант (ЕБРР) (кредит) (план)</t>
  </si>
  <si>
    <t>Развитие финансовой системы в сельских регионах 2 (КфВ) (грант)</t>
  </si>
  <si>
    <t>Глобальное партнерство в целях образования (ВБ) (грант)</t>
  </si>
  <si>
    <t>Борьба с туберкулезом-V (КфВ) (грант) (план)</t>
  </si>
  <si>
    <t>Государственное агентство архитектуры, строительства и ЖКХ при ПКР</t>
  </si>
  <si>
    <t>Программа развития сектора: укрепление системы образования (АБР) (план)</t>
  </si>
  <si>
    <t>Программа развития сектора: укрепление системы образования (АБР) (грант) (план)</t>
  </si>
  <si>
    <t>«Ввод второго агрегата Камбаратинской ГЭС-2» (АКФ ЕАБР) (кредит) (план)</t>
  </si>
  <si>
    <t>«Вторая фаза реабилитации Токтогульской ГЭС» (АКФ ЕАБР) (кредит) (план)</t>
  </si>
  <si>
    <t>Проект пути соединения между транспортными коридорами ЦАРЭС 1 и ЦАРЭС 3 (АБР) (грант)</t>
  </si>
  <si>
    <t>Проект пути соединения между транспортными коридорами ЦАРЭС 1 и ЦАРЭС 3 (АБР) (кредит)</t>
  </si>
  <si>
    <t>Проект пути соединения между транспортными коридорами ЦАРЭС 1 и ЦАРЭС 3 (АБР)</t>
  </si>
  <si>
    <t>Проект CASA-1000 (ЕИБ) (кредит) (план)</t>
  </si>
  <si>
    <t>Проект развития профессионально-технического образования, фаза 3 (АБР) (кредит)</t>
  </si>
  <si>
    <t>Реабилитация автомобильной дороги «Ош-Баткен-Исфана» (ИБР)</t>
  </si>
  <si>
    <t>Реабилитация автомобильной дороги «Ош-Баткен-Исфана» (ИБР) (кредит)</t>
  </si>
  <si>
    <t>Проект "Улучшение основных международных дорог" (JICA) (план)</t>
  </si>
  <si>
    <t>Проект "Улучшение основных международных дорог" (JICA) (кредит) (план)</t>
  </si>
  <si>
    <t>Проект «Здравоохранение и социальная защита» - 3 (КфВ) (грант)</t>
  </si>
  <si>
    <t>Охрана материнства и детства IV-V (КфВ) (грант)</t>
  </si>
  <si>
    <t>Цепочка добавленной стоимости агрофинансирования (КфВ) (грант) (план)</t>
  </si>
  <si>
    <t>Цепочка добавленной стоимости агрофинансирования (ЕИБ) (кредит) (план)</t>
  </si>
  <si>
    <t>Проект развития профессионально-технического образования, фаза 3 (АБР) (план)</t>
  </si>
  <si>
    <t>Проект развития профессионально-технического образования, фаза 3 (АБР) (грант) (план)</t>
  </si>
  <si>
    <t>Проект развития профессионально-технического образования, фаза 3 (АБР) (кредит) (план)</t>
  </si>
  <si>
    <t>тыс. сомов</t>
  </si>
  <si>
    <t>Тыс. USD</t>
  </si>
  <si>
    <t>Устойчивое развитие сел в Кыргызской Республике (ИБР) (план)</t>
  </si>
  <si>
    <t>Устойчивое развитие сел в Кыргызской Республике (ИБР) (кредит) (план)</t>
  </si>
  <si>
    <t>Реабилитация водоснабжения и канализации г. Ош (ЕБРР) (кредит)</t>
  </si>
  <si>
    <t>Модернизация ТЭЦ города Бишкек (КНР) (кредит)</t>
  </si>
  <si>
    <t>Реконструкция Атбашинской ГЭС (Швейцария) (грант)</t>
  </si>
  <si>
    <t>Управление национальными водными ресурсами, фаза-1 (Швейцарское бюро по развитию и сотрудничеству) (грант)</t>
  </si>
  <si>
    <t>Чрезвычайная помощь для восстановления и реконструкции (АБР) (грант)</t>
  </si>
  <si>
    <t>Улучшение системы управление бытовыми отходами г. Джалал-Абад (ИФЕС) (грант) (план)</t>
  </si>
  <si>
    <t>Улучшение системы управление бытовыми отходами г. Джалал-Абад (ЕБРР) (кредит) (план)</t>
  </si>
  <si>
    <t>Реабилитация водоснабжения и канализации г. Джалал-Абад (ЕБРР) (кредит)</t>
  </si>
  <si>
    <t>Реабилитация системы водоснабжения и канализации г. Токмок (Швейцария) (грант) (план)</t>
  </si>
  <si>
    <t>Реабилитация системы водоснабжения и канализации г. Токмок (ЕБРР) (кредит) (план)</t>
  </si>
  <si>
    <t>Реабилитация системы водоснабжения и канализации г. Нарын (ЕБРР) (грант) (план)</t>
  </si>
  <si>
    <t>Реабилитация системы водоснабжения и канализации г. Нарын (ЕБРР) (кредит) (план)</t>
  </si>
  <si>
    <t>Реабилитация системы водоснабжения и канализации в г. Баткен (ЕБРР) (грант) (план)</t>
  </si>
  <si>
    <t>Реабилитация системы водоснабжения и канализации в г. Баткен (ЕБРР) (кредит) (план)</t>
  </si>
  <si>
    <t>Доп.фин. проекта городской инфраструктуры гг. Бишкек и Ош (ВБ)</t>
  </si>
  <si>
    <t>Подготовка проекта «Улучшение управления пастбищами и животноводством» (ВБ) (грант) (план)</t>
  </si>
  <si>
    <t>Строительство альтернативной автодороги Север-Юг, км 159-183 (ИБР) (кредит) (план)</t>
  </si>
  <si>
    <t>Строительство альтернативной автодороги Север-Юг, км 159-183 (СФР) (кредит) (план)</t>
  </si>
  <si>
    <t>Строительство альтернативной автодороги Север-Юг, км 159-183 (ИБР, СФР) (план)</t>
  </si>
  <si>
    <t>РЕСПУБЛИКАНСКИЙ БЮДЖЕТ КЫРГЫЗСКОЙ РЕСПУБЛИКИ НА 2016 ГОД И ПРОГНОЗ НА 2017-2018 ГОДЫ</t>
  </si>
  <si>
    <t>Приложение 7</t>
  </si>
  <si>
    <t>к проекту Закона Кыргызской Республики</t>
  </si>
  <si>
    <t>«О республиканском бюджете</t>
  </si>
  <si>
    <t>Кыргызской Республики на 2016 год и</t>
  </si>
  <si>
    <t>прогнозе на 2017-2018 годы»</t>
  </si>
  <si>
    <t>Государственное агентство охраны окружающей среды и лесного хозяйства при ПКР</t>
  </si>
  <si>
    <t>Реабилитация водоснабжения и канализации г. Джалал-Абад (Швейцария) (грант)</t>
  </si>
  <si>
    <t>Реабилитация водоснабжения и канализации г. Ош (ЕБРР) (грант)</t>
  </si>
  <si>
    <t>Доп. фин. третьего проекта "ЦАРЭС Транспортный коридор 1 (дорога Бишкек-Торугарт)" (АБР)</t>
  </si>
  <si>
    <t>Доп. фин. третьего проекта "ЦАРЭС Транспортный коридор 1 (дорога Бишкек-Торугарт)" (АБР) (кредит)</t>
  </si>
  <si>
    <t>Доп. фин. третьего проекта "ЦАРЭС Транспортный коридор 1 (дорога Бишкек-Торугарт)" (АБР) (грант)</t>
  </si>
  <si>
    <t xml:space="preserve">Программа развития сектора: укрепление системы образования (АБР) (грант) </t>
  </si>
  <si>
    <t>сокр 2016</t>
  </si>
  <si>
    <t>Создание национальной системы экстренной медицины (КфВ) - 1 (грант)</t>
  </si>
  <si>
    <t>2016 ожидаемый</t>
  </si>
  <si>
    <t>Ожид-Уточн</t>
  </si>
  <si>
    <t>ВнутОткл</t>
  </si>
  <si>
    <t>ВнешОткл</t>
  </si>
  <si>
    <t xml:space="preserve">Улучшение системы управления твердыми отходами г. Бишкек (ИФЕС, ЕБРР) (грант) </t>
  </si>
  <si>
    <t xml:space="preserve">Улучшение системы управление бытовыми отходами г. Ош (ИФЕС) (грант) </t>
  </si>
  <si>
    <t xml:space="preserve">Улучшение системы управление бытовыми отходами г. Ош (ЕБРР) (кредит) </t>
  </si>
  <si>
    <t xml:space="preserve">Улучшение системы управления твердыми отходами г. Бишкек  (ЕБРР) (кредит) </t>
  </si>
  <si>
    <t>Программа по профилактике ВИЧ СПИДА 1 (грант)</t>
  </si>
  <si>
    <t>Программа по профилактике ВИЧ СПИДА 2 (грант)</t>
  </si>
  <si>
    <t xml:space="preserve">Борьба с туберкулезом-IV (КфВ) (грант) </t>
  </si>
  <si>
    <t>Доп.фин. проекта городской инфраструктуры гг. Бишкек и Ош (ВБ) (кредит)</t>
  </si>
  <si>
    <t>Развитие животноводства и рынка - 2 (МФСР) (грант)</t>
  </si>
  <si>
    <t>Развитие животноводства и рынка - 2 (ASAP) (грант)</t>
  </si>
  <si>
    <t>Проект «Городского развитие» (ВБ) (грант) (план)</t>
  </si>
  <si>
    <t>Проект «Городского развитие» (ВБ) (кредит) (план)</t>
  </si>
  <si>
    <t>Проект «Городского развитие» (ВБ)  (план)</t>
  </si>
  <si>
    <t>Проект «Городского развитие» ( (ВБ) (кредит) (план)</t>
  </si>
  <si>
    <t xml:space="preserve">Развитие бишкекского городского транспорта 1 (ЕБРР) (грант) </t>
  </si>
  <si>
    <t xml:space="preserve">Развитие бишкекского городского транспорта 1 (ЕБРР) (кредит) </t>
  </si>
  <si>
    <t xml:space="preserve">Реабилитация водоснабжения и канализации г. Бишкек 2 (Швейцария, ЕБРР) (грант) </t>
  </si>
  <si>
    <t xml:space="preserve">Реабилитация водоснабжения и канализации г. Бишкек 2 (ЕБРР) (кредит) </t>
  </si>
  <si>
    <t>Улучшение водоснабжения г. Бишкек (Швейцария, ЕБРР) (грант)</t>
  </si>
  <si>
    <t>Улучшение водоснабжения г. Бишкек (Швейцария, ЕБРР) (кредит)</t>
  </si>
  <si>
    <t>I</t>
  </si>
  <si>
    <t>апрель</t>
  </si>
  <si>
    <t>май</t>
  </si>
  <si>
    <t>июнь</t>
  </si>
  <si>
    <t>II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</si>
  <si>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</si>
  <si>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</si>
  <si>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</si>
  <si>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</si>
  <si>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</si>
  <si>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</si>
  <si>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Модернизация гидрометеорологического обслуживания в ЦА (ВБ) (грант) </t>
  </si>
  <si>
    <t xml:space="preserve">Модернизация гидрометеорологического обслуживания в ЦА (ВБ) (кредит) </t>
  </si>
  <si>
    <t>Реабилитация системы водоснабжения и канализации в г. Кара-Суу (ЕБРР) (грант) (план)</t>
  </si>
  <si>
    <t>Реабилитация системы водоснабжения и канализации в г. Кара-Суу (ЕБРР) (кредит) (план)</t>
  </si>
  <si>
    <t>Реабилитация системы водоснабжения и канализации в г. Чолпон-Ата (ЕБРР) (грант) (план)</t>
  </si>
  <si>
    <t>Реабилитация системы водоснабжения и канализации в г. Чолпон-Ата (ЕБРР) (кредит) (план)</t>
  </si>
  <si>
    <t>Реабилитация системы водоснабжения и канализации в г. Кызыл-Кия (ЕБРР) (грант) (план)</t>
  </si>
  <si>
    <t>Реабилитация системы водоснабжения и канализации в г. Кызыл-Кия (ЕБРР) (кредит) (план)</t>
  </si>
  <si>
    <t>Реабилитация системы водоснабжения и канализации в г. Узген(ЕБРР) (грант) (план)</t>
  </si>
  <si>
    <t>Реабилитация системы водоснабжения и канализации в г. Узген (ЕБРР) (кредит) (план)</t>
  </si>
  <si>
    <t>Реабилитация системы водоснабжения и канализации в г. Балыкчи (ЕБРР) (грант) (план)</t>
  </si>
  <si>
    <t>Реабилитация системы водоснабжения и канализации в г. Балыкчи(ЕБРР) (кредит) (план)</t>
  </si>
  <si>
    <t>Реабилитация системы водоснабжения и канализации в г. Каракол(ЕБРР) (грант) (план)</t>
  </si>
  <si>
    <t>Реабилитация системы водоснабжения и канализации в г. Каракол (ЕБРР) (кредит) (план)</t>
  </si>
  <si>
    <t>Реабилитация водоснабжения и канализации г. Ош  Фаза-2(ЕБРР) (грант)</t>
  </si>
  <si>
    <t>Реабилитация водоснабжения и канализации г. Ош Фаза -2(ЕБРР) (кредит)</t>
  </si>
  <si>
    <t>Реабилитация системы водоснабжения и канализации в г. Токтогул (ЕБРР) (грант) (план)</t>
  </si>
  <si>
    <t>Реабилитация системы водоснабжения и канализации в г. Токтогул (ЕБРР) (кредит) (план)</t>
  </si>
  <si>
    <t>Реабилитация системы водоснабжения и канализации в г. Майлуу-Суу (ЕБРР) (грант) (план)</t>
  </si>
  <si>
    <t>Реабилитация системы водоснабжения и канализации в г. Майлуу-Суу (ЕБРР) (кредит) (план)</t>
  </si>
  <si>
    <t>Реабилитация системы водоснабжения и канализации в г. Исфана (ЕБРР) (грант) (план)</t>
  </si>
  <si>
    <t>Реабилитация системы водоснабжения и канализации в г. Исфана (ЕБРР) (кредит) (план)</t>
  </si>
  <si>
    <t>Проект сельского водоснабжения и санитраии (ВБ, ИБР) (грант) (план)</t>
  </si>
  <si>
    <t>Проект сельского водоснабжения и санитраии (ВБ, ИБР) (кредит) (план)</t>
  </si>
  <si>
    <t>Проект сельского водоснабжения и санитраии (ВБ, ИБР)  (план)</t>
  </si>
  <si>
    <t xml:space="preserve">Проект «Улучшение управления пастбищами и животноводством» (ВБ) (грант) </t>
  </si>
  <si>
    <t xml:space="preserve">Проект «Улучшение управления пастбищами и животноводством» (ВБ) (кредит) </t>
  </si>
  <si>
    <t>Охрана материнства и детства VIII (КфВ) (грант) (план)</t>
  </si>
  <si>
    <t>Охрана материнства и детства IX (КфВ) (грант) (план)</t>
  </si>
  <si>
    <t xml:space="preserve">Развитие бишкекского городского транспорта 2 (ЕБРР) (грант) </t>
  </si>
  <si>
    <t xml:space="preserve">Развитие бишкекского городского транспорта 2  (ЕБРР) (кредит) </t>
  </si>
  <si>
    <t>«Вторая фаза реабилитации Токтогульской ГЭС» (АБР) (кредит) (план)</t>
  </si>
  <si>
    <t>«Вторая фаза реабилитации Токтогульской ГЭС» (АБР) (грант) (план)</t>
  </si>
  <si>
    <t>«Третья фаза реабилитации Токтогульской ГЭС» (АБР) (грант) (план)</t>
  </si>
  <si>
    <t>«Третья фаза реабилитации Токтогульской ГЭС» (АБР) (кредит) (план)</t>
  </si>
  <si>
    <t>«Третья фаза реабилитации Токтогульской ГЭС» (АКФ ЕАБР) (кредит) (план)</t>
  </si>
  <si>
    <t xml:space="preserve">Реабилитация водоснабжения и канализации г. Кант (ЕБРР) (кредит) </t>
  </si>
  <si>
    <t xml:space="preserve">Реабилитация водоснабжения и канализации г. Кант (Швейцария) (грант) </t>
  </si>
  <si>
    <t xml:space="preserve">Реабилитация водоснабжения и канализации г. Талас (ЕБРР) (кредит) </t>
  </si>
  <si>
    <t xml:space="preserve">Реабилитация водоснабжения и канализации г. Талас (ЕБРР, ИФЕС, специальный фонд по изменению климата Глобального экологического фонда) (грант) </t>
  </si>
  <si>
    <t>СПБ НА 2017-2019 ГОДЫ</t>
  </si>
  <si>
    <t>Тыс. сомов</t>
  </si>
  <si>
    <t xml:space="preserve">Программа развития сектора: укрепление системы образования (АБР) </t>
  </si>
  <si>
    <t xml:space="preserve">Борьба с туберкулезом-V (КфВ) (грант) </t>
  </si>
  <si>
    <t xml:space="preserve"> Строительство и оснащение нейрохирургического центра Национального госпиталя (КФАЭР) (кредит) (план)</t>
  </si>
  <si>
    <t>Строительство нового корпуса для Городской детской клинической больницы скорой медицинской помощи города Бишкек (СФР) (кредит) (план)</t>
  </si>
  <si>
    <t>Строительство государственных школ (кредит) (план)</t>
  </si>
  <si>
    <t>Региональный проект по здоровью животных (ВБ)  (план)</t>
  </si>
  <si>
    <t>Проект CASA-1000 (ИБР) (кредит) (план)</t>
  </si>
  <si>
    <t xml:space="preserve">Проект «Повышение подотчетности и надежности электроснабжения» (ВБ) (кредит) </t>
  </si>
  <si>
    <t xml:space="preserve">Улучшение системы управление бытовыми отходами г. Ош (ЕБРР) (кредит) (план) </t>
  </si>
  <si>
    <t xml:space="preserve">Устойчивое развитие сел в Кыргызской Республике (ИБР) (кредит) </t>
  </si>
  <si>
    <t xml:space="preserve">Устойчивое развитие сел в Кыргызской Республике (ИБР) </t>
  </si>
  <si>
    <t xml:space="preserve">Проект сельских инвестиций - 3 (КфВ) (грант) </t>
  </si>
  <si>
    <t xml:space="preserve">Проект сельских инвестиций - 3 (ВБ) (кредит) </t>
  </si>
  <si>
    <t xml:space="preserve">Проект сельских инвестиций - 3 (ВБ) (грант) </t>
  </si>
  <si>
    <t xml:space="preserve">Строительство альтернативной дороги «Север-Юг» 2 (КНР) (кредит) </t>
  </si>
  <si>
    <t xml:space="preserve">«Вторая фаза реабилитации Токтогульской ГЭС» (АБР) (грант) </t>
  </si>
  <si>
    <t xml:space="preserve">«Вторая фаза реабилитации Токтогульской ГЭС» (АБР) (кредит) </t>
  </si>
  <si>
    <t xml:space="preserve">Министерство сельского хозяйства,пищевой промышленности  и мелиорации КР </t>
  </si>
  <si>
    <t>Министерство транспорта и дорог КР</t>
  </si>
  <si>
    <t>Государственный комитет промышленности, энергетики и недропользования Кыргызской Республики</t>
  </si>
  <si>
    <t xml:space="preserve"> Фонд по управлению государственным имуществом при Правительстве Кыргызской Республики </t>
  </si>
  <si>
    <t xml:space="preserve"> Строительство и оснащение нейрохирургического центра Национального госпиталя (КФАЭР) (кредит) </t>
  </si>
  <si>
    <t xml:space="preserve">Проект "Улучшение основных международных дорог" (JICA) (кредит) </t>
  </si>
  <si>
    <t xml:space="preserve">Проект "Улучшение основных международных дорог" (JICA) </t>
  </si>
  <si>
    <t xml:space="preserve"> Государственные инвестиции</t>
  </si>
  <si>
    <t>Государственные инвестиции</t>
  </si>
  <si>
    <t xml:space="preserve">Проект «Городского развитие» (ВБ)  </t>
  </si>
  <si>
    <t xml:space="preserve">Проект «Городского развитие» (ВБ) (грант) </t>
  </si>
  <si>
    <t xml:space="preserve">Проект «Городского развитие» (ВБ) (кредит) </t>
  </si>
  <si>
    <t xml:space="preserve">«Третья фаза реабилитации Токтогульской ГЭС» (АБР) (грант) </t>
  </si>
  <si>
    <t xml:space="preserve">«Третья  фаза реабилитации Токтогульской ГЭС» (АБР) (кредит) </t>
  </si>
  <si>
    <t>Проект по улучшению теплоснабжения в КР (ВБ) (грант) (план)</t>
  </si>
  <si>
    <t>Государственный комитет информационных технологий и связи  Кыргызской Республики</t>
  </si>
  <si>
    <t xml:space="preserve">«Digital CASA» (ВБ) (грант) (план) </t>
  </si>
  <si>
    <t>«Digital CASA» (ВБ) (кредит) (план)</t>
  </si>
  <si>
    <t>Развитие ирригационной сети Сарымсак в КР (ИБР) (кредит)</t>
  </si>
  <si>
    <t>Проект «Здравоохранение и социальная защита» - 3, 4 (КфВ) (грант)</t>
  </si>
  <si>
    <t>Финансирование поставок сельскохозяйственной техники в КР (ЕАБР) (кредит)</t>
  </si>
  <si>
    <t xml:space="preserve">«Вторая фаза реабилитации Токтогульской ГЭС» (АБР) </t>
  </si>
  <si>
    <t xml:space="preserve">«Вторая фаза реабилитации Токтогульской ГЭС» (ЕАБР) (кредит) </t>
  </si>
  <si>
    <t xml:space="preserve">Проект "Противолавинная защита автодороги Бишкек-Ош" (JICA) (Грант) </t>
  </si>
  <si>
    <t xml:space="preserve">Строительство альтернативной автодороги Север-Юг, км 159-183 (ИБР, СФР) </t>
  </si>
  <si>
    <t xml:space="preserve">Строительство альтернативной автодороги Север-Юг, км 159-183 (ИБР) (кредит) </t>
  </si>
  <si>
    <t xml:space="preserve">Строительство альтернативной автодороги Север-Юг, км 159-183 (СФР) (кредит) </t>
  </si>
  <si>
    <t>Грант</t>
  </si>
  <si>
    <t>Кредит</t>
  </si>
  <si>
    <t>Министерства</t>
  </si>
  <si>
    <t xml:space="preserve">Строительство государственных школ (СФР) (кредит) </t>
  </si>
  <si>
    <t>Госстрой</t>
  </si>
  <si>
    <t xml:space="preserve">Поддержка реформ в секторе образования (ВБ) </t>
  </si>
  <si>
    <t>ГАООСЛХ</t>
  </si>
  <si>
    <t>1 ГКПЭН 2 ЭС</t>
  </si>
  <si>
    <t>«Проект улучшения теплоснабжения» (ВБ) (грант) (план)</t>
  </si>
  <si>
    <t>«Проект улучшения теплоснабжения» (ВБ) (кредит) (план)</t>
  </si>
  <si>
    <t>«Реконструкция и строительства насосных станций» (ЕБРР) (грант) (план)</t>
  </si>
  <si>
    <t>«Реконструкция и строительства насосных станций» (ЕБРР) (кредит) (план)</t>
  </si>
  <si>
    <t>«Реабилитация ОАО Востокэлектро» (ЕБРР) (грант) (план)</t>
  </si>
  <si>
    <t>«Реабилитация ОАО Востокэлектро» (ЕБРР) (кредит) (план)</t>
  </si>
  <si>
    <t xml:space="preserve">«Реабилитация ОАО Ошэлектро» (ЕБРР) (грант) </t>
  </si>
  <si>
    <t xml:space="preserve">«Реабилитация ОАО Ошэлектро» (ЕБРР) (кредит) </t>
  </si>
  <si>
    <t xml:space="preserve">Цепочка добавленной стоимости агрофинансирования (КфВ, ИФКА) (грант) </t>
  </si>
  <si>
    <t xml:space="preserve">Государственная регистрационная служба  при Правительстве Кыргызской Республики </t>
  </si>
  <si>
    <t>Государственное агентство по делам местного самоуправления и межэтнических отношений при ПКР (АРИС)</t>
  </si>
  <si>
    <t>АРИС</t>
  </si>
  <si>
    <t>ГКИТС</t>
  </si>
  <si>
    <t>ГКПЭН</t>
  </si>
  <si>
    <t>Минтранс</t>
  </si>
  <si>
    <t>Минсельхоз</t>
  </si>
  <si>
    <t>Минздрав</t>
  </si>
  <si>
    <t>МЧС</t>
  </si>
  <si>
    <t>Минобраз</t>
  </si>
  <si>
    <t>Минэконом</t>
  </si>
  <si>
    <t>Минфин</t>
  </si>
  <si>
    <t>«Ввод в эксплуатацию  второго гидроагрегата Камбаратинской ГЭС-2» (ЕАБР) (кредит) (план)</t>
  </si>
  <si>
    <t xml:space="preserve">Модернизация гидрометеорологического обслуживания в ЦА Доп фин (ВБ) (грант) </t>
  </si>
  <si>
    <t xml:space="preserve">Модернизация гидрометеорологического обслуживания в ЦА  Доп фин (ВБ) (кредит) </t>
  </si>
  <si>
    <t xml:space="preserve">Строительство нового корпуса для Городской детской клинической больницы скорой медицинской помощи города Бишкек (СФР) (кредит) </t>
  </si>
  <si>
    <t>ГРС</t>
  </si>
  <si>
    <t>ФУГИ</t>
  </si>
  <si>
    <t xml:space="preserve">Программа развития сектора навыки для инклюзивного роста (АБР) </t>
  </si>
  <si>
    <t xml:space="preserve">Программа развития сектора навыки для инклюзивного роста (АБР) (грант) </t>
  </si>
  <si>
    <t xml:space="preserve">Реабилитация водоснабжения и канализации в г. Кара-Балта (ЕБРР) (грант) </t>
  </si>
  <si>
    <t xml:space="preserve">Реабилитация водоснабжения и канализации в г. Кара-Балта (ЕБРР) (кредит) </t>
  </si>
  <si>
    <t xml:space="preserve">Реабилитация системы водоснабжения и канализации в г. Баткен (ЕБРР) (грант) </t>
  </si>
  <si>
    <t xml:space="preserve">Реабилитация системы водоснабжения и канализации в г. Баткен (ЕБРР) (кредит) </t>
  </si>
  <si>
    <t xml:space="preserve"> Строительство и оснащение нейрохирургического центра Национального госпиталя (КФАЭР) </t>
  </si>
  <si>
    <t>КфВ, ИФЦА</t>
  </si>
  <si>
    <t>ЕИБ</t>
  </si>
  <si>
    <t>АБР</t>
  </si>
  <si>
    <t>ВБ</t>
  </si>
  <si>
    <t>КфВ</t>
  </si>
  <si>
    <t>СФР</t>
  </si>
  <si>
    <t>КФАЭР</t>
  </si>
  <si>
    <t>МФСР</t>
  </si>
  <si>
    <t>ASAP</t>
  </si>
  <si>
    <t>ЕАБР</t>
  </si>
  <si>
    <t>ИБР</t>
  </si>
  <si>
    <t>ОПЕК</t>
  </si>
  <si>
    <t>ФР АД</t>
  </si>
  <si>
    <t>КНР</t>
  </si>
  <si>
    <t>JICA</t>
  </si>
  <si>
    <t>Швейцария</t>
  </si>
  <si>
    <t>ЕБРР</t>
  </si>
  <si>
    <t xml:space="preserve">Цепочка добавленной стоимости агрофинансирования (КфВ, ИФКА,ЕИБ)  </t>
  </si>
  <si>
    <t xml:space="preserve">Улучшения сельскохозяйственной  производительности и питания (Глобальный фонд по с/х и продовольственной безопасности) (ВБ) (грант) </t>
  </si>
  <si>
    <t xml:space="preserve">Реабилитация системы водоснабжения и канализации г. Нарын (Швейцария) (грант) </t>
  </si>
  <si>
    <t>Реабилитация системы водоснабжения и канализации в г. Ош Фаза-2 (ЕИБ) (кредит) (план)</t>
  </si>
  <si>
    <t>Реабилитация системы водоснабжения и канализации в г. Кара-Суу ( ЕИБ) (кредит) (план)</t>
  </si>
  <si>
    <t>Реабилитация системы водоснабжения и канализации в г. Чолпон-Ата( ЕИБ) (кредит) (план)</t>
  </si>
  <si>
    <t>Реабилитация системы водоснабжения и канализации в г. Кызыл-Кия (ЕИБ) (кредит) (план)</t>
  </si>
  <si>
    <t>Реабилитация системы водоснабжения и канализации в г. Ош Фаза-2 (ЕБРР) (кредит) (план)</t>
  </si>
  <si>
    <t>Реабилитация системы водоснабжения и канализации в г.Узген (ЕБРР) (кредит) (план)</t>
  </si>
  <si>
    <t>Реабилитация системы водоснабжения и канализации в г.Балыкчы (ЕБРР) (кредит) (план)</t>
  </si>
  <si>
    <t>Реабилитация системы водоснабжения и канализации в г. Чолпон-Ата (ЕС) (грант) (план)</t>
  </si>
  <si>
    <t>ЕС</t>
  </si>
  <si>
    <t xml:space="preserve">Улучшение системы управления твердыми отходами г. Бишкек (ЕС, ЕБРР) (грант) </t>
  </si>
  <si>
    <t>ЕС, ЕБРР</t>
  </si>
  <si>
    <t xml:space="preserve">Улучшение системы управление бытовыми отходами г. Ош (ЕС) (грант) </t>
  </si>
  <si>
    <t xml:space="preserve">Реабилитация водоснабжения и канализации г. Талас (ЕБРР, ЕС, специальный фонд по изменению климата Глобального экологического фонда) (грант) </t>
  </si>
  <si>
    <t>Реабилитация системы водоснабжения и канализации в г. Ош Фаза -2 (ЕС) (грант) (план)</t>
  </si>
  <si>
    <t>Реабилитация системы водоснабжения и канализации в г. Кара-Суу(ЕС) (грант) (план)</t>
  </si>
  <si>
    <t>Реабилитация системы водоснабжения и канализации в г. Кызыл-Кия (ЕС) (грант) (план)</t>
  </si>
  <si>
    <t>Реабилитация системы водоснабжения и канализации в г. Токтогул (ЕС) (грант) (план)</t>
  </si>
  <si>
    <t>Реабилитация системы водоснабжения и канализации в г. Майлуу-Суу (ЕС) (грант) (план)</t>
  </si>
  <si>
    <t>Реабилитация системы водоснабжения и канализации в г. Узген (ЕС) (грант) (план)</t>
  </si>
  <si>
    <t>Реабилитация системы водоснабжения и канализации в г. Балыкчы (ЕС) (грант) (план)</t>
  </si>
  <si>
    <t>Реабилитация системы водоснабжения и канализации г. Токмок (ЕС,ЕБРР) (грант) (план)</t>
  </si>
  <si>
    <t>Софин</t>
  </si>
  <si>
    <t xml:space="preserve">Софин </t>
  </si>
  <si>
    <t>софин</t>
  </si>
  <si>
    <t>От правит.иностр.госуд</t>
  </si>
  <si>
    <t>получение заим.по многосторонним долговым соглашениям</t>
  </si>
  <si>
    <t>Комплексное развитие производительности молочного сектора (ВБ) (грант)</t>
  </si>
  <si>
    <t>Комплексное развитие производительности молочного сектора (ВБ) (кредит)</t>
  </si>
  <si>
    <t>курс 05.08.2018 =1,16</t>
  </si>
  <si>
    <t xml:space="preserve">Поддержка реформ в секторе образования (грант) (ВБ) </t>
  </si>
  <si>
    <t xml:space="preserve">Поддержка реформ в секторе образования (кредит) (ВБ) </t>
  </si>
  <si>
    <t xml:space="preserve">Проект «Интегрированное управление лесными экосистемами Кыргызской Республики » (ВБ) (грант) </t>
  </si>
  <si>
    <t xml:space="preserve">Проект «Интегрированное управление лесными экосистемами Кыргызской Республики » (ВБ) (кредит) </t>
  </si>
  <si>
    <t>Повышение устойчивости к рискам стихийным бедствиям в КР (ВБ) (грант) (план)</t>
  </si>
  <si>
    <t>Повышение устойчивости к рискам стихийным бедствиям в КР(ВБ) (кредит) (план)</t>
  </si>
  <si>
    <t>Проект "Реконструкция автомобильной дороги Бишкек-Ош.  Фаза 4" (участок от с. Маданият до г. Джалал-Абад)  (ЕАБР)</t>
  </si>
  <si>
    <t>Проект "Реконструкция автомобильной дороги Бишкек-Ош.  Фаза 4" (участок от с. Маданият до г. Джалал-Абад) (ЕАБР) (кредит)</t>
  </si>
  <si>
    <t xml:space="preserve">Улучшение общественного транспорта г. Ош (ЕБРР) (грант) </t>
  </si>
  <si>
    <t>Мэрия г.Ош</t>
  </si>
  <si>
    <t>Повышение эффективности электрораспредительных сетей (КфВ) (грант)</t>
  </si>
  <si>
    <t>РЕСПУБЛИКАНСКИЙ БЮДЖЕТ КЫРГЫЗСКОЙ РЕСПУБЛИКИ НА 2019 ГОД И ПРОГНОЗ НА 2020-2021 ГОДЫ</t>
  </si>
  <si>
    <t>к Закону Кыргызской Республики</t>
  </si>
  <si>
    <t>Кыргызской Республики на 2019 год и</t>
  </si>
  <si>
    <t>прогнозе на 2020-2021 годы»</t>
  </si>
  <si>
    <t xml:space="preserve">«Третья фаза реабилитации Токтогульской ГЭС» (АБР) </t>
  </si>
  <si>
    <t xml:space="preserve">Проект  «Обеспечения доступа к рынкам» (МФСР) </t>
  </si>
  <si>
    <t xml:space="preserve">Проект «Обеспечения доступа к рынкам»  (МФСР) (грант) </t>
  </si>
  <si>
    <t>Проект «Обеспечения доступа к рынкам»»  (МФСР) (кредит)</t>
  </si>
  <si>
    <t xml:space="preserve">Развитие ирригационной сети Сарымсак в КР (ИБР) </t>
  </si>
  <si>
    <t>Модернизация ТЭЦ г. Бишкек (КНР) (кредит)</t>
  </si>
  <si>
    <t>Проект  «Обеспечения доступа к рынкам» (МФСР)</t>
  </si>
  <si>
    <t xml:space="preserve"> </t>
  </si>
  <si>
    <t xml:space="preserve">Проект сельского водоснабжения и санитарии 3 (ВБ)  </t>
  </si>
  <si>
    <t xml:space="preserve">Проект сельского водоснабжения и санитарии 3 (ВБ) (грант) </t>
  </si>
  <si>
    <t xml:space="preserve">Проект сельского водоснабжения и санитарии 3 (ВБ) (кредит) </t>
  </si>
  <si>
    <t xml:space="preserve">Проект сельского водоснабжения и санитарии 3 (ВБ)  (ДФ) </t>
  </si>
  <si>
    <t>Проект сельского водоснабжения и санитарии 3 (ВБ) (грант) (ДФ)</t>
  </si>
  <si>
    <t>Проект сельского водоснабжения и санитарии 3 (ВБ) (кредит) (ДФ)</t>
  </si>
  <si>
    <t xml:space="preserve">Проект сельского водоснабжения и санитарии 3 (ИБР) </t>
  </si>
  <si>
    <t xml:space="preserve">Проект сельского водоснабжения и санитарии 3 (ИБР) (кредит) </t>
  </si>
  <si>
    <t>Улучшение общественного транспорта г. Ош (ЕБРР) (кредит)</t>
  </si>
  <si>
    <t xml:space="preserve">Реабилитация системы водоснабжения и канализации г. Нарын (ЕБРР) (кредит) </t>
  </si>
  <si>
    <t xml:space="preserve">Проект CASA-1000 (ВБ) (грант) </t>
  </si>
  <si>
    <t xml:space="preserve">Проект CASA-1000 (ВБ) (кредит) </t>
  </si>
  <si>
    <t xml:space="preserve">Проект CASA-1000 (ЕИБ) (кредит) </t>
  </si>
  <si>
    <t xml:space="preserve">Проект CASA-1000 (ИБР) (кредит) </t>
  </si>
  <si>
    <t xml:space="preserve">Реабилитация системы водоснабжения и канализации в г. Кара-Суу(ЕС) (грант) </t>
  </si>
  <si>
    <t xml:space="preserve">Реабилитация системы водоснабжения и канализации в г. Чолпон-Ата (ЕБРР) (кредит) </t>
  </si>
  <si>
    <t xml:space="preserve">Финансирование поставок сельскохозяйственной техники в КР (ЕАБР) </t>
  </si>
  <si>
    <t xml:space="preserve">в Закон Кыргызской Республики «О республиканском бюджете </t>
  </si>
  <si>
    <t>Повышение эффективности электрораспредительных сетей (КфВ) (кредит)</t>
  </si>
  <si>
    <t xml:space="preserve">Строительство государственных школ (СФР) </t>
  </si>
  <si>
    <t>2019 (уточ.)</t>
  </si>
  <si>
    <t>2021 (прогноз)</t>
  </si>
  <si>
    <t xml:space="preserve">Цепочка добавленной стоимости агрофинансирования (ЕИБ) (кредит) </t>
  </si>
  <si>
    <t xml:space="preserve">Развитие финансовых систем в сельских регионах (КфВ) (грант) </t>
  </si>
  <si>
    <t>Программа жилищного финансирования (КфВ) (грант)</t>
  </si>
  <si>
    <t>Создание национальной системы экстренной медицины (КфВ) - 2</t>
  </si>
  <si>
    <t>Программа профилактики ВИЧ СПИД - 2 (КфВ) (грант)</t>
  </si>
  <si>
    <t>Развитие животноводства и рынка -  (МФСР)</t>
  </si>
  <si>
    <t>Развитие животноводства и рынка - (МФСР) (грант)</t>
  </si>
  <si>
    <t>Развитие животноводства и рынка -  (МФСР) (кредит)</t>
  </si>
  <si>
    <t>Развитие животноводства и рынка -  2 (МФСР)</t>
  </si>
  <si>
    <t>Проект пути соединения между транспортными коридорами ЦАРЭС 1 и ЦАРЭС 3. Фаза 2 - Доп. фин. (АБР)</t>
  </si>
  <si>
    <t>Проект пути соединения между транспортными коридорами ЦАРЭС 1 и ЦАРЭС 3. Фаза 2 - Доп. фин. (АБР) (грант)</t>
  </si>
  <si>
    <t>Проект пути соединения между транспортными коридорами ЦАРЭС 1 и ЦАРЭС 3. Фаза 2 - Доп. фин. (АБР) (кредит)</t>
  </si>
  <si>
    <t>Повышение устойчивости к рискам стихийным бедствиям в КР (ВБ) (грант)</t>
  </si>
  <si>
    <t xml:space="preserve">Повышение устойчивости к рискам стихийным бедствиям в КР(ВБ) (кредит) </t>
  </si>
  <si>
    <t>Улучшение электроснабжения г.Бишкек и Ош (ИБР) (кредит)</t>
  </si>
  <si>
    <t xml:space="preserve">«Ввод в эксплуатацию  второго гидроагрегата Камбаратинской ГЭС-2» (ЕАБР) (кредит) </t>
  </si>
  <si>
    <t xml:space="preserve">«Проект улучшения теплоснабжения» (ВБ) (грант) </t>
  </si>
  <si>
    <t xml:space="preserve">«Проект улучшения теплоснабжения» (ВБ) (кредит) </t>
  </si>
  <si>
    <t xml:space="preserve">«Реабилитация ОАО Востокэлектро» (ЕБРР) (грант) </t>
  </si>
  <si>
    <t xml:space="preserve">«Реабилитация ОАО Востокэлектро» (ЕБРР) (кредит) </t>
  </si>
  <si>
    <t xml:space="preserve">«Digital CASA» (ВБ) (грант) </t>
  </si>
  <si>
    <t xml:space="preserve">«Digital CASA» (ВБ) (кредит) </t>
  </si>
  <si>
    <t>Развитие животноводства и рынка - 1 (МФСР)</t>
  </si>
  <si>
    <t>Развитие животноводства и рынка - 1 (МФСР) (кредит)</t>
  </si>
  <si>
    <t>Проект по улучшению теплоснабжения в КР (ВБ) (грант)</t>
  </si>
  <si>
    <t>Государственное агентство водных ресурсов при ПКР</t>
  </si>
  <si>
    <t>«Повышение устойчивости водных ресурсов к изменению климата и стихийным бедствиям»</t>
  </si>
  <si>
    <t>«Повышение устойчивости водных ресурсов к изменению климата и стихийным бедствиям» (АБР) (грант)</t>
  </si>
  <si>
    <t>«Повышение устойчивости водных ресурсов к изменению климата и стихийным бедствиям» (АБР) (кредит)</t>
  </si>
  <si>
    <t xml:space="preserve">Реабилитация системы водоснабжения и канализации г. Токмок (ЕС,ЕБРР) (грант) </t>
  </si>
  <si>
    <t xml:space="preserve">Реабилитация системы водоснабжения и канализации г. Токмок (ЕБРР) (кредит) </t>
  </si>
  <si>
    <t xml:space="preserve">Реабилитация системы водоснабжения и канализации в г. Кара-Суу (ЕБРР) (кредит) </t>
  </si>
  <si>
    <t xml:space="preserve">Реабилитация системы водоснабжения и канализации в г. Чолпон-Ата (ЕС) (грант) </t>
  </si>
  <si>
    <t xml:space="preserve">Реабилитация системы водоснабжения и канализации в г. Чолпон-Ата( ЕИБ) (кредит) </t>
  </si>
  <si>
    <t xml:space="preserve">Реабилитация системы водоснабжения и канализации в г. Кызыл-Кия (ЕС) (грант) </t>
  </si>
  <si>
    <t xml:space="preserve">Реабилитация системы водоснабжения и канализации в г. Кызыл-Кия (ЕБРР) (кредит) </t>
  </si>
  <si>
    <t xml:space="preserve">Реабилитация системы водоснабжения и канализации в г. Кызыл-Кия (ЕИБ) (кредит) </t>
  </si>
  <si>
    <t xml:space="preserve">Реабилитация системы водоснабжения и канализации в г. Токтогул (ЕС) (грант) </t>
  </si>
  <si>
    <t xml:space="preserve">Реабилитация системы водоснабжения и канализации в г. Токтогул (ЕБРР) (кредит) </t>
  </si>
  <si>
    <t xml:space="preserve">Реабилитация системы водоснабжения и канализации в г. Майлуу-Суу (ЕС) (грант) </t>
  </si>
  <si>
    <t xml:space="preserve">Реабилитация системы водоснабжения и канализации в г. Майлуу-Суу (ЕБРР) (кредит) </t>
  </si>
  <si>
    <t xml:space="preserve">Реабилитация системы водоснабжения и канализации в г. Узген (ЕС) (грант) </t>
  </si>
  <si>
    <t xml:space="preserve">Реабилитация системы водоснабжения и канализации в г.Узген (ЕБРР) (кредит) </t>
  </si>
  <si>
    <t xml:space="preserve">Реабилитация системы водоснабжения и канализации в г. Балыкчы (ЕС) (грант) </t>
  </si>
  <si>
    <t xml:space="preserve">Реабилитация системы водоснабжения и канализации в г.Балыкчы (ЕБРР) (кредит) </t>
  </si>
  <si>
    <t xml:space="preserve">Управления сточными водами Иссык-Куля (АБР) </t>
  </si>
  <si>
    <t>Управления сточными водами Иссык-Куля (АБР) (грант)</t>
  </si>
  <si>
    <t>Управления сточными водами Иссык-Куля (АБР) (кредит)</t>
  </si>
  <si>
    <t xml:space="preserve">Проект «Улучшение сельского водоснабжения и санитарии в Баткенской и Таласской областях»  (ИБР, СФР) </t>
  </si>
  <si>
    <t xml:space="preserve"> Программа профилактики ВИЧ/СПИД - II (Безопасное переливание крови)</t>
  </si>
  <si>
    <t>Проект "Улучшение дорожных путей сообщения в ЦА" Фаза 3 (Дор.  Тюп-Кеген) (ВБ) (грант) (план)</t>
  </si>
  <si>
    <t>Проект "Улучшение дорожных путей сообщения в ЦА" Фаза 3 (Дор.  Тюп-Кеген) (ВБ) (кредит) (план)</t>
  </si>
  <si>
    <t>Проект поддержки местных сообществ CASA 1000 (ВБ) (грант) (план)</t>
  </si>
  <si>
    <t>Проект поддержки местных сообществ CASA 1000 (ВБ) (кредит) (план)</t>
  </si>
  <si>
    <t xml:space="preserve">Управление национальными водными резурсами- Фаза 2 (ВБ) (грант) (план) </t>
  </si>
  <si>
    <t xml:space="preserve">Реабилитация системы водоснабжения и канализации в г. Токтогул (ЕИБ) (кредит) </t>
  </si>
  <si>
    <t xml:space="preserve">Реабилитация системы водоснабжения и канализации в г. Майлуу-Суу (ЕИБ) (кредит) </t>
  </si>
  <si>
    <t xml:space="preserve">Реабилитация системы водоснабжения и канализации в г.Балыкчы (ЕИБ) (кредит) </t>
  </si>
  <si>
    <t>Реабилитация системы водоснабжения и канализации в г.Узген (ЕИБ) (кредит)</t>
  </si>
  <si>
    <t>Управление национальными водными резурсами (СЕКО) (грант)</t>
  </si>
  <si>
    <t xml:space="preserve">Проект «Улучшение сельского водоснабжения и санитарии в Баткенской и Таласской областях» (ИБР) (кредит) </t>
  </si>
  <si>
    <t xml:space="preserve">Проект «Улучшение сельского водоснабжения и санитарии в Баткенской и Таласской областях» (СФР) (кредит) </t>
  </si>
  <si>
    <t xml:space="preserve">Проект «Городское развитие» (ВБ)  </t>
  </si>
  <si>
    <t xml:space="preserve">Проект «Городское развитие» (ВБ) (грант) </t>
  </si>
  <si>
    <t xml:space="preserve">Проект «Городское развитие» (ВБ) (кредит) </t>
  </si>
  <si>
    <t>Проект  «Обеспечение доступа к рынкам» (МФСР)</t>
  </si>
  <si>
    <t xml:space="preserve">Проект «Обеспечение доступа к рынкам»  (МФСР) (грант) </t>
  </si>
  <si>
    <t>Проект «Обеспечение доступа к рынкам»»  (МФСР) (кредит)</t>
  </si>
  <si>
    <t>к Закону Кыргызской Республики «О внесении изменений</t>
  </si>
  <si>
    <t>(тыс. сом)</t>
  </si>
  <si>
    <t>2019 (уточ.) план</t>
  </si>
  <si>
    <t>2019 (утверж.) план</t>
  </si>
  <si>
    <t>Итого по программе 2</t>
  </si>
  <si>
    <t>Итого по программе 3</t>
  </si>
  <si>
    <t>Итого внутреннее + внешнее</t>
  </si>
  <si>
    <t>РЕСПУБЛИКАНСКИЙ БЮДЖЕТ КЫРГЫЗСКОЙ РЕСПУБЛИКИ НА 2019 ГОД И ПРОГНОЗ
 НА 2020-2021 ГОДЫ</t>
  </si>
  <si>
    <t>2019  факт</t>
  </si>
</sst>
</file>

<file path=xl/styles.xml><?xml version="1.0" encoding="utf-8"?>
<styleSheet xmlns="http://schemas.openxmlformats.org/spreadsheetml/2006/main">
  <numFmts count="6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#,##0.0"/>
    <numFmt numFmtId="196" formatCode="_-* #,##0\ _F_B_-;\-* #,##0\ _F_B_-;_-* &quot;-&quot;??\ _F_B_-;_-@_-"/>
    <numFmt numFmtId="197" formatCode="_-* #,##0.00\ _F_B_-;\-* #,##0.00\ _F_B_-;_-* &quot;-&quot;??\ _F_B_-;_-@_-"/>
    <numFmt numFmtId="198" formatCode="_-* #,##0.0_р_._-;\-* #,##0.0_р_._-;_-* &quot;-&quot;?_р_._-;_-@_-"/>
    <numFmt numFmtId="199" formatCode="_(* #,##0.0_);_(* \(#,##0.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0.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0.000"/>
    <numFmt numFmtId="212" formatCode="_-* #,##0.0\ _F_B_-;\-* #,##0.0\ _F_B_-;_-* &quot;-&quot;??\ _F_B_-;_-@_-"/>
    <numFmt numFmtId="213" formatCode="0.0%"/>
    <numFmt numFmtId="214" formatCode="#,##0.00_р_."/>
    <numFmt numFmtId="215" formatCode="#,##0.000"/>
    <numFmt numFmtId="216" formatCode="#,##0.0000"/>
    <numFmt numFmtId="217" formatCode="#,##0.0&quot;р.&quot;"/>
    <numFmt numFmtId="218" formatCode="_(* #,##0.000_);_(* \(#,##0.000\);_(* &quot;-&quot;??_);_(@_)"/>
    <numFmt numFmtId="219" formatCode="_(* #,##0.0000_);_(* \(#,##0.0000\);_(* &quot;-&quot;??_);_(@_)"/>
    <numFmt numFmtId="220" formatCode="[$-FC19]d\ mmmm\ yyyy\ &quot;г.&quot;"/>
  </numFmts>
  <fonts count="59">
    <font>
      <sz val="10"/>
      <name val="Arial"/>
      <family val="0"/>
    </font>
    <font>
      <sz val="10"/>
      <name val="Times New Roman"/>
      <family val="1"/>
    </font>
    <font>
      <sz val="10"/>
      <color indexed="8"/>
      <name val="MS Sans Serif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name val="Arial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FF0000"/>
      <name val="Times New Roman"/>
      <family val="1"/>
    </font>
    <font>
      <sz val="10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2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5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3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3" fontId="7" fillId="33" borderId="10" xfId="33" applyNumberFormat="1" applyFont="1" applyFill="1" applyBorder="1" applyAlignment="1">
      <alignment horizontal="center" wrapText="1"/>
      <protection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/>
    </xf>
    <xf numFmtId="195" fontId="10" fillId="33" borderId="0" xfId="0" applyNumberFormat="1" applyFont="1" applyFill="1" applyAlignment="1">
      <alignment/>
    </xf>
    <xf numFmtId="194" fontId="4" fillId="33" borderId="0" xfId="33" applyNumberFormat="1" applyFont="1" applyFill="1" applyBorder="1" applyAlignment="1">
      <alignment horizontal="center"/>
      <protection/>
    </xf>
    <xf numFmtId="195" fontId="13" fillId="33" borderId="0" xfId="0" applyNumberFormat="1" applyFont="1" applyFill="1" applyAlignment="1">
      <alignment/>
    </xf>
    <xf numFmtId="1" fontId="7" fillId="33" borderId="10" xfId="0" applyNumberFormat="1" applyFont="1" applyFill="1" applyBorder="1" applyAlignment="1">
      <alignment horizontal="center"/>
    </xf>
    <xf numFmtId="49" fontId="10" fillId="33" borderId="10" xfId="33" applyNumberFormat="1" applyFont="1" applyFill="1" applyBorder="1" applyAlignment="1">
      <alignment horizontal="left" wrapText="1"/>
      <protection/>
    </xf>
    <xf numFmtId="195" fontId="10" fillId="33" borderId="10" xfId="0" applyNumberFormat="1" applyFont="1" applyFill="1" applyBorder="1" applyAlignment="1">
      <alignment horizontal="right" wrapText="1"/>
    </xf>
    <xf numFmtId="195" fontId="10" fillId="33" borderId="10" xfId="0" applyNumberFormat="1" applyFont="1" applyFill="1" applyBorder="1" applyAlignment="1">
      <alignment/>
    </xf>
    <xf numFmtId="1" fontId="7" fillId="33" borderId="10" xfId="0" applyNumberFormat="1" applyFont="1" applyFill="1" applyBorder="1" applyAlignment="1">
      <alignment horizontal="center" wrapText="1"/>
    </xf>
    <xf numFmtId="194" fontId="10" fillId="33" borderId="10" xfId="33" applyNumberFormat="1" applyFont="1" applyFill="1" applyBorder="1" applyAlignment="1">
      <alignment horizontal="left" wrapText="1"/>
      <protection/>
    </xf>
    <xf numFmtId="195" fontId="10" fillId="33" borderId="10" xfId="0" applyNumberFormat="1" applyFont="1" applyFill="1" applyBorder="1" applyAlignment="1">
      <alignment horizontal="right"/>
    </xf>
    <xf numFmtId="194" fontId="4" fillId="33" borderId="0" xfId="33" applyNumberFormat="1" applyFont="1" applyFill="1" applyBorder="1" applyAlignment="1">
      <alignment/>
      <protection/>
    </xf>
    <xf numFmtId="194" fontId="9" fillId="33" borderId="0" xfId="33" applyNumberFormat="1" applyFont="1" applyFill="1" applyBorder="1" applyAlignment="1">
      <alignment horizontal="center"/>
      <protection/>
    </xf>
    <xf numFmtId="195" fontId="10" fillId="0" borderId="10" xfId="0" applyNumberFormat="1" applyFont="1" applyFill="1" applyBorder="1" applyAlignment="1">
      <alignment horizontal="right" wrapText="1"/>
    </xf>
    <xf numFmtId="195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49" fontId="10" fillId="0" borderId="10" xfId="33" applyNumberFormat="1" applyFont="1" applyFill="1" applyBorder="1" applyAlignment="1">
      <alignment horizontal="left" wrapText="1"/>
      <protection/>
    </xf>
    <xf numFmtId="195" fontId="10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10" fillId="0" borderId="10" xfId="33" applyNumberFormat="1" applyFont="1" applyFill="1" applyBorder="1" applyAlignment="1">
      <alignment horizontal="left"/>
      <protection/>
    </xf>
    <xf numFmtId="194" fontId="10" fillId="0" borderId="10" xfId="33" applyNumberFormat="1" applyFont="1" applyFill="1" applyBorder="1" applyAlignment="1">
      <alignment horizontal="left" wrapText="1"/>
      <protection/>
    </xf>
    <xf numFmtId="49" fontId="10" fillId="0" borderId="0" xfId="0" applyNumberFormat="1" applyFont="1" applyFill="1" applyAlignment="1">
      <alignment wrapText="1"/>
    </xf>
    <xf numFmtId="49" fontId="10" fillId="0" borderId="1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wrapText="1"/>
    </xf>
    <xf numFmtId="49" fontId="10" fillId="0" borderId="10" xfId="0" applyNumberFormat="1" applyFont="1" applyFill="1" applyBorder="1" applyAlignment="1">
      <alignment vertical="center"/>
    </xf>
    <xf numFmtId="195" fontId="10" fillId="0" borderId="0" xfId="0" applyNumberFormat="1" applyFont="1" applyFill="1" applyAlignment="1">
      <alignment/>
    </xf>
    <xf numFmtId="194" fontId="3" fillId="0" borderId="0" xfId="33" applyNumberFormat="1" applyFont="1" applyFill="1" applyBorder="1" applyAlignment="1">
      <alignment horizont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3" fontId="7" fillId="0" borderId="10" xfId="33" applyNumberFormat="1" applyFont="1" applyFill="1" applyBorder="1" applyAlignment="1">
      <alignment horizontal="center" wrapText="1"/>
      <protection/>
    </xf>
    <xf numFmtId="2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195" fontId="9" fillId="0" borderId="14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94" fontId="4" fillId="0" borderId="0" xfId="33" applyNumberFormat="1" applyFont="1" applyFill="1" applyBorder="1" applyAlignment="1">
      <alignment/>
      <protection/>
    </xf>
    <xf numFmtId="194" fontId="4" fillId="0" borderId="0" xfId="33" applyNumberFormat="1" applyFont="1" applyFill="1" applyBorder="1" applyAlignment="1">
      <alignment horizontal="center"/>
      <protection/>
    </xf>
    <xf numFmtId="0" fontId="1" fillId="0" borderId="0" xfId="0" applyFont="1" applyFill="1" applyAlignment="1">
      <alignment horizontal="center" vertical="center"/>
    </xf>
    <xf numFmtId="1" fontId="7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 wrapText="1"/>
    </xf>
    <xf numFmtId="194" fontId="9" fillId="0" borderId="0" xfId="33" applyNumberFormat="1" applyFont="1" applyFill="1" applyBorder="1" applyAlignment="1">
      <alignment/>
      <protection/>
    </xf>
    <xf numFmtId="195" fontId="13" fillId="0" borderId="0" xfId="0" applyNumberFormat="1" applyFont="1" applyFill="1" applyBorder="1" applyAlignment="1">
      <alignment horizontal="right" wrapText="1"/>
    </xf>
    <xf numFmtId="195" fontId="10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wrapText="1"/>
    </xf>
    <xf numFmtId="49" fontId="10" fillId="33" borderId="10" xfId="33" applyNumberFormat="1" applyFont="1" applyFill="1" applyBorder="1" applyAlignment="1">
      <alignment horizontal="left"/>
      <protection/>
    </xf>
    <xf numFmtId="195" fontId="10" fillId="34" borderId="10" xfId="0" applyNumberFormat="1" applyFont="1" applyFill="1" applyBorder="1" applyAlignment="1">
      <alignment horizontal="right" wrapText="1"/>
    </xf>
    <xf numFmtId="195" fontId="10" fillId="34" borderId="10" xfId="0" applyNumberFormat="1" applyFont="1" applyFill="1" applyBorder="1" applyAlignment="1">
      <alignment/>
    </xf>
    <xf numFmtId="49" fontId="10" fillId="16" borderId="10" xfId="33" applyNumberFormat="1" applyFont="1" applyFill="1" applyBorder="1" applyAlignment="1">
      <alignment horizontal="left" wrapText="1"/>
      <protection/>
    </xf>
    <xf numFmtId="0" fontId="1" fillId="16" borderId="0" xfId="0" applyFont="1" applyFill="1" applyAlignment="1">
      <alignment/>
    </xf>
    <xf numFmtId="3" fontId="7" fillId="16" borderId="10" xfId="33" applyNumberFormat="1" applyFont="1" applyFill="1" applyBorder="1" applyAlignment="1">
      <alignment horizontal="center" wrapText="1"/>
      <protection/>
    </xf>
    <xf numFmtId="1" fontId="7" fillId="16" borderId="10" xfId="0" applyNumberFormat="1" applyFont="1" applyFill="1" applyBorder="1" applyAlignment="1">
      <alignment horizontal="center"/>
    </xf>
    <xf numFmtId="0" fontId="1" fillId="33" borderId="0" xfId="0" applyFont="1" applyFill="1" applyAlignment="1">
      <alignment wrapText="1"/>
    </xf>
    <xf numFmtId="1" fontId="7" fillId="16" borderId="10" xfId="0" applyNumberFormat="1" applyFont="1" applyFill="1" applyBorder="1" applyAlignment="1">
      <alignment horizontal="center" wrapText="1"/>
    </xf>
    <xf numFmtId="0" fontId="10" fillId="16" borderId="10" xfId="0" applyFont="1" applyFill="1" applyBorder="1" applyAlignment="1">
      <alignment wrapText="1"/>
    </xf>
    <xf numFmtId="195" fontId="12" fillId="0" borderId="10" xfId="0" applyNumberFormat="1" applyFont="1" applyFill="1" applyBorder="1" applyAlignment="1">
      <alignment horizontal="right" wrapText="1"/>
    </xf>
    <xf numFmtId="0" fontId="1" fillId="16" borderId="0" xfId="0" applyFont="1" applyFill="1" applyAlignment="1">
      <alignment wrapText="1"/>
    </xf>
    <xf numFmtId="194" fontId="9" fillId="0" borderId="0" xfId="33" applyNumberFormat="1" applyFont="1" applyFill="1" applyBorder="1" applyAlignment="1">
      <alignment horizontal="center"/>
      <protection/>
    </xf>
    <xf numFmtId="49" fontId="8" fillId="0" borderId="10" xfId="0" applyNumberFormat="1" applyFont="1" applyFill="1" applyBorder="1" applyAlignment="1">
      <alignment horizontal="center" wrapText="1"/>
    </xf>
    <xf numFmtId="49" fontId="9" fillId="0" borderId="10" xfId="33" applyNumberFormat="1" applyFont="1" applyFill="1" applyBorder="1" applyAlignment="1">
      <alignment horizontal="left" wrapText="1"/>
      <protection/>
    </xf>
    <xf numFmtId="195" fontId="9" fillId="0" borderId="10" xfId="0" applyNumberFormat="1" applyFont="1" applyFill="1" applyBorder="1" applyAlignment="1">
      <alignment horizontal="right" wrapText="1"/>
    </xf>
    <xf numFmtId="195" fontId="10" fillId="0" borderId="0" xfId="0" applyNumberFormat="1" applyFont="1" applyFill="1" applyAlignment="1">
      <alignment horizontal="right" wrapText="1"/>
    </xf>
    <xf numFmtId="195" fontId="13" fillId="0" borderId="10" xfId="0" applyNumberFormat="1" applyFont="1" applyFill="1" applyBorder="1" applyAlignment="1">
      <alignment horizontal="right" wrapText="1"/>
    </xf>
    <xf numFmtId="194" fontId="1" fillId="0" borderId="10" xfId="0" applyNumberFormat="1" applyFont="1" applyFill="1" applyBorder="1" applyAlignment="1">
      <alignment wrapText="1"/>
    </xf>
    <xf numFmtId="49" fontId="9" fillId="0" borderId="10" xfId="33" applyNumberFormat="1" applyFont="1" applyFill="1" applyBorder="1" applyAlignment="1">
      <alignment horizontal="left"/>
      <protection/>
    </xf>
    <xf numFmtId="49" fontId="12" fillId="0" borderId="10" xfId="33" applyNumberFormat="1" applyFont="1" applyFill="1" applyBorder="1" applyAlignment="1">
      <alignment horizontal="left" wrapText="1"/>
      <protection/>
    </xf>
    <xf numFmtId="49" fontId="9" fillId="0" borderId="10" xfId="33" applyNumberFormat="1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195" fontId="13" fillId="0" borderId="0" xfId="0" applyNumberFormat="1" applyFont="1" applyFill="1" applyAlignment="1">
      <alignment/>
    </xf>
    <xf numFmtId="49" fontId="10" fillId="35" borderId="10" xfId="33" applyNumberFormat="1" applyFont="1" applyFill="1" applyBorder="1" applyAlignment="1">
      <alignment horizontal="left" wrapText="1"/>
      <protection/>
    </xf>
    <xf numFmtId="0" fontId="10" fillId="35" borderId="10" xfId="0" applyFont="1" applyFill="1" applyBorder="1" applyAlignment="1">
      <alignment wrapText="1"/>
    </xf>
    <xf numFmtId="0" fontId="15" fillId="0" borderId="10" xfId="0" applyFont="1" applyFill="1" applyBorder="1" applyAlignment="1">
      <alignment horizontal="center" wrapText="1"/>
    </xf>
    <xf numFmtId="49" fontId="57" fillId="33" borderId="10" xfId="33" applyNumberFormat="1" applyFont="1" applyFill="1" applyBorder="1" applyAlignment="1">
      <alignment horizontal="left" wrapText="1"/>
      <protection/>
    </xf>
    <xf numFmtId="0" fontId="1" fillId="35" borderId="0" xfId="0" applyFont="1" applyFill="1" applyAlignment="1">
      <alignment/>
    </xf>
    <xf numFmtId="3" fontId="7" fillId="35" borderId="10" xfId="33" applyNumberFormat="1" applyFont="1" applyFill="1" applyBorder="1" applyAlignment="1">
      <alignment horizontal="center" wrapText="1"/>
      <protection/>
    </xf>
    <xf numFmtId="1" fontId="7" fillId="35" borderId="10" xfId="0" applyNumberFormat="1" applyFont="1" applyFill="1" applyBorder="1" applyAlignment="1">
      <alignment horizontal="center"/>
    </xf>
    <xf numFmtId="195" fontId="10" fillId="36" borderId="10" xfId="0" applyNumberFormat="1" applyFont="1" applyFill="1" applyBorder="1" applyAlignment="1">
      <alignment horizontal="right" wrapText="1"/>
    </xf>
    <xf numFmtId="0" fontId="58" fillId="16" borderId="0" xfId="0" applyFont="1" applyFill="1" applyAlignment="1">
      <alignment/>
    </xf>
    <xf numFmtId="195" fontId="9" fillId="33" borderId="10" xfId="0" applyNumberFormat="1" applyFont="1" applyFill="1" applyBorder="1" applyAlignment="1">
      <alignment horizontal="right" wrapText="1"/>
    </xf>
    <xf numFmtId="195" fontId="12" fillId="33" borderId="10" xfId="0" applyNumberFormat="1" applyFont="1" applyFill="1" applyBorder="1" applyAlignment="1">
      <alignment horizontal="right" wrapText="1"/>
    </xf>
    <xf numFmtId="195" fontId="10" fillId="33" borderId="0" xfId="0" applyNumberFormat="1" applyFont="1" applyFill="1" applyAlignment="1">
      <alignment horizontal="right" wrapText="1"/>
    </xf>
    <xf numFmtId="195" fontId="13" fillId="33" borderId="10" xfId="0" applyNumberFormat="1" applyFont="1" applyFill="1" applyBorder="1" applyAlignment="1">
      <alignment horizontal="right" wrapText="1"/>
    </xf>
    <xf numFmtId="49" fontId="1" fillId="33" borderId="0" xfId="0" applyNumberFormat="1" applyFont="1" applyFill="1" applyAlignment="1">
      <alignment wrapText="1"/>
    </xf>
    <xf numFmtId="194" fontId="1" fillId="33" borderId="10" xfId="0" applyNumberFormat="1" applyFont="1" applyFill="1" applyBorder="1" applyAlignment="1">
      <alignment wrapText="1"/>
    </xf>
    <xf numFmtId="0" fontId="15" fillId="33" borderId="10" xfId="0" applyFont="1" applyFill="1" applyBorder="1" applyAlignment="1">
      <alignment horizont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7" borderId="14" xfId="0" applyFont="1" applyFill="1" applyBorder="1" applyAlignment="1">
      <alignment horizontal="center" vertical="center" wrapText="1"/>
    </xf>
    <xf numFmtId="195" fontId="9" fillId="37" borderId="10" xfId="0" applyNumberFormat="1" applyFont="1" applyFill="1" applyBorder="1" applyAlignment="1">
      <alignment horizontal="right" wrapText="1"/>
    </xf>
    <xf numFmtId="195" fontId="12" fillId="37" borderId="10" xfId="0" applyNumberFormat="1" applyFont="1" applyFill="1" applyBorder="1" applyAlignment="1">
      <alignment horizontal="right" wrapText="1"/>
    </xf>
    <xf numFmtId="195" fontId="10" fillId="37" borderId="10" xfId="0" applyNumberFormat="1" applyFont="1" applyFill="1" applyBorder="1" applyAlignment="1">
      <alignment horizontal="right" wrapText="1"/>
    </xf>
    <xf numFmtId="49" fontId="3" fillId="37" borderId="14" xfId="0" applyNumberFormat="1" applyFont="1" applyFill="1" applyBorder="1" applyAlignment="1">
      <alignment horizontal="center" vertical="center" wrapText="1"/>
    </xf>
    <xf numFmtId="195" fontId="10" fillId="37" borderId="10" xfId="0" applyNumberFormat="1" applyFont="1" applyFill="1" applyBorder="1" applyAlignment="1">
      <alignment horizontal="right"/>
    </xf>
    <xf numFmtId="195" fontId="10" fillId="37" borderId="0" xfId="0" applyNumberFormat="1" applyFont="1" applyFill="1" applyAlignment="1">
      <alignment horizontal="right" wrapText="1"/>
    </xf>
    <xf numFmtId="195" fontId="13" fillId="37" borderId="10" xfId="0" applyNumberFormat="1" applyFont="1" applyFill="1" applyBorder="1" applyAlignment="1">
      <alignment horizontal="right" wrapText="1"/>
    </xf>
    <xf numFmtId="49" fontId="1" fillId="37" borderId="0" xfId="0" applyNumberFormat="1" applyFont="1" applyFill="1" applyAlignment="1">
      <alignment wrapText="1"/>
    </xf>
    <xf numFmtId="194" fontId="1" fillId="37" borderId="10" xfId="0" applyNumberFormat="1" applyFont="1" applyFill="1" applyBorder="1" applyAlignment="1">
      <alignment wrapText="1"/>
    </xf>
    <xf numFmtId="49" fontId="10" fillId="33" borderId="10" xfId="33" applyNumberFormat="1" applyFont="1" applyFill="1" applyBorder="1" applyAlignment="1">
      <alignment horizontal="center"/>
      <protection/>
    </xf>
    <xf numFmtId="0" fontId="10" fillId="34" borderId="10" xfId="0" applyFont="1" applyFill="1" applyBorder="1" applyAlignment="1">
      <alignment wrapText="1"/>
    </xf>
    <xf numFmtId="49" fontId="10" fillId="34" borderId="10" xfId="33" applyNumberFormat="1" applyFont="1" applyFill="1" applyBorder="1" applyAlignment="1">
      <alignment horizontal="left" wrapText="1"/>
      <protection/>
    </xf>
    <xf numFmtId="49" fontId="10" fillId="34" borderId="10" xfId="33" applyNumberFormat="1" applyFont="1" applyFill="1" applyBorder="1" applyAlignment="1">
      <alignment horizontal="center"/>
      <protection/>
    </xf>
    <xf numFmtId="49" fontId="10" fillId="34" borderId="10" xfId="33" applyNumberFormat="1" applyFont="1" applyFill="1" applyBorder="1" applyAlignment="1">
      <alignment horizontal="left"/>
      <protection/>
    </xf>
    <xf numFmtId="49" fontId="10" fillId="38" borderId="10" xfId="33" applyNumberFormat="1" applyFont="1" applyFill="1" applyBorder="1" applyAlignment="1">
      <alignment horizontal="left" wrapText="1"/>
      <protection/>
    </xf>
    <xf numFmtId="49" fontId="9" fillId="38" borderId="10" xfId="33" applyNumberFormat="1" applyFont="1" applyFill="1" applyBorder="1" applyAlignment="1">
      <alignment horizontal="left"/>
      <protection/>
    </xf>
    <xf numFmtId="0" fontId="10" fillId="2" borderId="10" xfId="0" applyFont="1" applyFill="1" applyBorder="1" applyAlignment="1">
      <alignment wrapText="1"/>
    </xf>
    <xf numFmtId="49" fontId="9" fillId="33" borderId="10" xfId="33" applyNumberFormat="1" applyFont="1" applyFill="1" applyBorder="1" applyAlignment="1">
      <alignment horizontal="left"/>
      <protection/>
    </xf>
    <xf numFmtId="49" fontId="12" fillId="33" borderId="10" xfId="33" applyNumberFormat="1" applyFont="1" applyFill="1" applyBorder="1" applyAlignment="1">
      <alignment horizontal="left" wrapText="1"/>
      <protection/>
    </xf>
    <xf numFmtId="49" fontId="9" fillId="33" borderId="10" xfId="33" applyNumberFormat="1" applyFont="1" applyFill="1" applyBorder="1" applyAlignment="1">
      <alignment horizontal="left" wrapText="1"/>
      <protection/>
    </xf>
    <xf numFmtId="49" fontId="9" fillId="33" borderId="10" xfId="33" applyNumberFormat="1" applyFont="1" applyFill="1" applyBorder="1" applyAlignment="1">
      <alignment horizontal="left" vertical="top" wrapText="1"/>
      <protection/>
    </xf>
    <xf numFmtId="49" fontId="10" fillId="33" borderId="0" xfId="0" applyNumberFormat="1" applyFont="1" applyFill="1" applyAlignment="1">
      <alignment wrapText="1"/>
    </xf>
    <xf numFmtId="49" fontId="10" fillId="33" borderId="11" xfId="0" applyNumberFormat="1" applyFont="1" applyFill="1" applyBorder="1" applyAlignment="1">
      <alignment vertical="center"/>
    </xf>
    <xf numFmtId="49" fontId="10" fillId="33" borderId="10" xfId="0" applyNumberFormat="1" applyFont="1" applyFill="1" applyBorder="1" applyAlignment="1">
      <alignment vertical="center"/>
    </xf>
    <xf numFmtId="49" fontId="9" fillId="33" borderId="14" xfId="33" applyNumberFormat="1" applyFont="1" applyFill="1" applyBorder="1" applyAlignment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194" fontId="3" fillId="33" borderId="0" xfId="33" applyNumberFormat="1" applyFont="1" applyFill="1" applyBorder="1" applyAlignment="1">
      <alignment horizontal="center" wrapText="1"/>
      <protection/>
    </xf>
    <xf numFmtId="195" fontId="13" fillId="33" borderId="0" xfId="0" applyNumberFormat="1" applyFont="1" applyFill="1" applyAlignment="1">
      <alignment horizontal="right"/>
    </xf>
    <xf numFmtId="195" fontId="10" fillId="33" borderId="11" xfId="0" applyNumberFormat="1" applyFont="1" applyFill="1" applyBorder="1" applyAlignment="1">
      <alignment horizontal="right" wrapText="1"/>
    </xf>
    <xf numFmtId="195" fontId="9" fillId="33" borderId="11" xfId="0" applyNumberFormat="1" applyFont="1" applyFill="1" applyBorder="1" applyAlignment="1">
      <alignment horizontal="right" wrapText="1"/>
    </xf>
    <xf numFmtId="0" fontId="1" fillId="33" borderId="10" xfId="0" applyFont="1" applyFill="1" applyBorder="1" applyAlignment="1">
      <alignment/>
    </xf>
    <xf numFmtId="0" fontId="15" fillId="18" borderId="14" xfId="0" applyFont="1" applyFill="1" applyBorder="1" applyAlignment="1">
      <alignment horizontal="center" vertical="center" wrapText="1"/>
    </xf>
    <xf numFmtId="195" fontId="9" fillId="33" borderId="15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 wrapText="1"/>
    </xf>
    <xf numFmtId="4" fontId="10" fillId="33" borderId="11" xfId="0" applyNumberFormat="1" applyFont="1" applyFill="1" applyBorder="1" applyAlignment="1">
      <alignment horizontal="right" wrapText="1"/>
    </xf>
    <xf numFmtId="4" fontId="9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wrapText="1"/>
    </xf>
    <xf numFmtId="4" fontId="9" fillId="33" borderId="11" xfId="0" applyNumberFormat="1" applyFont="1" applyFill="1" applyBorder="1" applyAlignment="1">
      <alignment horizontal="right" wrapText="1"/>
    </xf>
    <xf numFmtId="4" fontId="12" fillId="33" borderId="11" xfId="0" applyNumberFormat="1" applyFont="1" applyFill="1" applyBorder="1" applyAlignment="1">
      <alignment horizontal="right" wrapText="1"/>
    </xf>
    <xf numFmtId="4" fontId="13" fillId="33" borderId="10" xfId="0" applyNumberFormat="1" applyFont="1" applyFill="1" applyBorder="1" applyAlignment="1">
      <alignment horizontal="right" wrapText="1"/>
    </xf>
    <xf numFmtId="4" fontId="10" fillId="33" borderId="10" xfId="0" applyNumberFormat="1" applyFont="1" applyFill="1" applyBorder="1" applyAlignment="1">
      <alignment horizontal="right"/>
    </xf>
    <xf numFmtId="4" fontId="1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/>
    </xf>
    <xf numFmtId="4" fontId="10" fillId="33" borderId="0" xfId="0" applyNumberFormat="1" applyFont="1" applyFill="1" applyAlignment="1">
      <alignment horizontal="right" wrapText="1"/>
    </xf>
    <xf numFmtId="4" fontId="13" fillId="33" borderId="11" xfId="0" applyNumberFormat="1" applyFont="1" applyFill="1" applyBorder="1" applyAlignment="1">
      <alignment horizontal="right" wrapText="1"/>
    </xf>
    <xf numFmtId="4" fontId="1" fillId="33" borderId="0" xfId="0" applyNumberFormat="1" applyFont="1" applyFill="1" applyAlignment="1">
      <alignment wrapText="1"/>
    </xf>
    <xf numFmtId="4" fontId="9" fillId="0" borderId="10" xfId="0" applyNumberFormat="1" applyFont="1" applyFill="1" applyBorder="1" applyAlignment="1">
      <alignment horizontal="right" wrapText="1"/>
    </xf>
    <xf numFmtId="4" fontId="12" fillId="0" borderId="10" xfId="0" applyNumberFormat="1" applyFont="1" applyFill="1" applyBorder="1" applyAlignment="1">
      <alignment horizontal="right" wrapText="1"/>
    </xf>
    <xf numFmtId="4" fontId="9" fillId="33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right" wrapText="1"/>
    </xf>
    <xf numFmtId="4" fontId="10" fillId="0" borderId="10" xfId="0" applyNumberFormat="1" applyFont="1" applyFill="1" applyBorder="1" applyAlignment="1">
      <alignment/>
    </xf>
    <xf numFmtId="4" fontId="10" fillId="0" borderId="10" xfId="0" applyNumberFormat="1" applyFont="1" applyFill="1" applyBorder="1" applyAlignment="1">
      <alignment horizontal="right"/>
    </xf>
    <xf numFmtId="4" fontId="13" fillId="0" borderId="10" xfId="0" applyNumberFormat="1" applyFont="1" applyFill="1" applyBorder="1" applyAlignment="1">
      <alignment horizontal="right" wrapText="1"/>
    </xf>
    <xf numFmtId="4" fontId="1" fillId="0" borderId="10" xfId="0" applyNumberFormat="1" applyFont="1" applyFill="1" applyBorder="1" applyAlignment="1">
      <alignment wrapText="1"/>
    </xf>
    <xf numFmtId="4" fontId="1" fillId="33" borderId="11" xfId="0" applyNumberFormat="1" applyFont="1" applyFill="1" applyBorder="1" applyAlignment="1">
      <alignment wrapText="1"/>
    </xf>
    <xf numFmtId="195" fontId="9" fillId="33" borderId="10" xfId="0" applyNumberFormat="1" applyFont="1" applyFill="1" applyBorder="1" applyAlignment="1">
      <alignment horizontal="center" vertical="center" wrapText="1"/>
    </xf>
    <xf numFmtId="0" fontId="19" fillId="33" borderId="0" xfId="0" applyFont="1" applyFill="1" applyAlignment="1">
      <alignment horizontal="right"/>
    </xf>
    <xf numFmtId="3" fontId="7" fillId="34" borderId="10" xfId="33" applyNumberFormat="1" applyFont="1" applyFill="1" applyBorder="1" applyAlignment="1">
      <alignment horizontal="center" wrapText="1"/>
      <protection/>
    </xf>
    <xf numFmtId="1" fontId="7" fillId="34" borderId="10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1" fillId="39" borderId="0" xfId="0" applyFont="1" applyFill="1" applyAlignment="1">
      <alignment/>
    </xf>
    <xf numFmtId="0" fontId="10" fillId="40" borderId="10" xfId="0" applyFont="1" applyFill="1" applyBorder="1" applyAlignment="1">
      <alignment wrapText="1"/>
    </xf>
    <xf numFmtId="49" fontId="10" fillId="40" borderId="10" xfId="33" applyNumberFormat="1" applyFont="1" applyFill="1" applyBorder="1" applyAlignment="1">
      <alignment horizontal="left" wrapText="1"/>
      <protection/>
    </xf>
    <xf numFmtId="0" fontId="1" fillId="34" borderId="0" xfId="0" applyFont="1" applyFill="1" applyAlignment="1">
      <alignment wrapText="1"/>
    </xf>
    <xf numFmtId="0" fontId="1" fillId="33" borderId="10" xfId="0" applyFont="1" applyFill="1" applyBorder="1" applyAlignment="1">
      <alignment horizontal="center"/>
    </xf>
    <xf numFmtId="194" fontId="4" fillId="33" borderId="10" xfId="33" applyNumberFormat="1" applyFont="1" applyFill="1" applyBorder="1" applyAlignment="1">
      <alignment/>
      <protection/>
    </xf>
    <xf numFmtId="194" fontId="9" fillId="33" borderId="10" xfId="33" applyNumberFormat="1" applyFont="1" applyFill="1" applyBorder="1" applyAlignment="1">
      <alignment horizontal="center"/>
      <protection/>
    </xf>
    <xf numFmtId="194" fontId="4" fillId="33" borderId="10" xfId="33" applyNumberFormat="1" applyFont="1" applyFill="1" applyBorder="1" applyAlignment="1">
      <alignment horizontal="center"/>
      <protection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94" fontId="3" fillId="0" borderId="10" xfId="33" applyNumberFormat="1" applyFont="1" applyFill="1" applyBorder="1" applyAlignment="1">
      <alignment horizontal="center" wrapText="1"/>
      <protection/>
    </xf>
    <xf numFmtId="195" fontId="13" fillId="0" borderId="10" xfId="0" applyNumberFormat="1" applyFont="1" applyFill="1" applyBorder="1" applyAlignment="1">
      <alignment horizontal="right"/>
    </xf>
    <xf numFmtId="194" fontId="13" fillId="0" borderId="10" xfId="33" applyNumberFormat="1" applyFont="1" applyFill="1" applyBorder="1" applyAlignment="1">
      <alignment wrapText="1"/>
      <protection/>
    </xf>
    <xf numFmtId="49" fontId="9" fillId="0" borderId="10" xfId="3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95" fontId="9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wrapText="1"/>
    </xf>
    <xf numFmtId="49" fontId="1" fillId="0" borderId="10" xfId="0" applyNumberFormat="1" applyFont="1" applyFill="1" applyBorder="1" applyAlignment="1">
      <alignment wrapText="1"/>
    </xf>
    <xf numFmtId="49" fontId="1" fillId="33" borderId="10" xfId="0" applyNumberFormat="1" applyFont="1" applyFill="1" applyBorder="1" applyAlignment="1">
      <alignment wrapText="1"/>
    </xf>
    <xf numFmtId="195" fontId="10" fillId="0" borderId="0" xfId="0" applyNumberFormat="1" applyFont="1" applyFill="1" applyBorder="1" applyAlignment="1">
      <alignment horizontal="right" wrapText="1"/>
    </xf>
    <xf numFmtId="49" fontId="10" fillId="35" borderId="10" xfId="33" applyNumberFormat="1" applyFont="1" applyFill="1" applyBorder="1" applyAlignment="1">
      <alignment horizontal="left"/>
      <protection/>
    </xf>
    <xf numFmtId="49" fontId="10" fillId="40" borderId="10" xfId="33" applyNumberFormat="1" applyFont="1" applyFill="1" applyBorder="1" applyAlignment="1">
      <alignment horizontal="left"/>
      <protection/>
    </xf>
    <xf numFmtId="4" fontId="10" fillId="0" borderId="11" xfId="0" applyNumberFormat="1" applyFont="1" applyFill="1" applyBorder="1" applyAlignment="1">
      <alignment/>
    </xf>
    <xf numFmtId="49" fontId="9" fillId="0" borderId="14" xfId="33" applyNumberFormat="1" applyFont="1" applyFill="1" applyBorder="1" applyAlignment="1">
      <alignment horizontal="center" vertical="center" wrapText="1"/>
      <protection/>
    </xf>
    <xf numFmtId="4" fontId="9" fillId="0" borderId="11" xfId="0" applyNumberFormat="1" applyFont="1" applyFill="1" applyBorder="1" applyAlignment="1">
      <alignment horizontal="right" wrapText="1"/>
    </xf>
    <xf numFmtId="4" fontId="12" fillId="0" borderId="11" xfId="0" applyNumberFormat="1" applyFont="1" applyFill="1" applyBorder="1" applyAlignment="1">
      <alignment horizontal="right" wrapText="1"/>
    </xf>
    <xf numFmtId="4" fontId="10" fillId="0" borderId="1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195" fontId="13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4" fontId="1" fillId="0" borderId="0" xfId="0" applyNumberFormat="1" applyFont="1" applyFill="1" applyAlignment="1">
      <alignment/>
    </xf>
    <xf numFmtId="4" fontId="10" fillId="0" borderId="0" xfId="0" applyNumberFormat="1" applyFont="1" applyFill="1" applyAlignment="1">
      <alignment horizontal="right" wrapText="1"/>
    </xf>
    <xf numFmtId="4" fontId="13" fillId="0" borderId="11" xfId="0" applyNumberFormat="1" applyFont="1" applyFill="1" applyBorder="1" applyAlignment="1">
      <alignment horizontal="right" wrapText="1"/>
    </xf>
    <xf numFmtId="4" fontId="1" fillId="0" borderId="0" xfId="0" applyNumberFormat="1" applyFont="1" applyFill="1" applyAlignment="1">
      <alignment wrapText="1"/>
    </xf>
    <xf numFmtId="4" fontId="1" fillId="0" borderId="11" xfId="0" applyNumberFormat="1" applyFont="1" applyFill="1" applyBorder="1" applyAlignment="1">
      <alignment wrapText="1"/>
    </xf>
    <xf numFmtId="4" fontId="10" fillId="0" borderId="0" xfId="0" applyNumberFormat="1" applyFont="1" applyFill="1" applyAlignment="1">
      <alignment/>
    </xf>
    <xf numFmtId="195" fontId="9" fillId="0" borderId="0" xfId="0" applyNumberFormat="1" applyFont="1" applyFill="1" applyAlignment="1">
      <alignment/>
    </xf>
    <xf numFmtId="4" fontId="3" fillId="0" borderId="0" xfId="0" applyNumberFormat="1" applyFont="1" applyFill="1" applyAlignment="1">
      <alignment/>
    </xf>
    <xf numFmtId="0" fontId="15" fillId="0" borderId="15" xfId="0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/>
    </xf>
    <xf numFmtId="4" fontId="12" fillId="0" borderId="11" xfId="0" applyNumberFormat="1" applyFont="1" applyFill="1" applyBorder="1" applyAlignment="1">
      <alignment/>
    </xf>
    <xf numFmtId="49" fontId="10" fillId="0" borderId="14" xfId="33" applyNumberFormat="1" applyFont="1" applyFill="1" applyBorder="1" applyAlignment="1">
      <alignment horizontal="left" wrapText="1"/>
      <protection/>
    </xf>
    <xf numFmtId="16" fontId="1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Alignment="1">
      <alignment horizontal="right"/>
    </xf>
    <xf numFmtId="195" fontId="17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horizontal="right" wrapText="1"/>
    </xf>
    <xf numFmtId="195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94" fontId="1" fillId="0" borderId="0" xfId="33" applyNumberFormat="1" applyFont="1" applyFill="1" applyBorder="1" applyAlignment="1">
      <alignment horizontal="right"/>
      <protection/>
    </xf>
    <xf numFmtId="194" fontId="17" fillId="0" borderId="0" xfId="33" applyNumberFormat="1" applyFont="1" applyFill="1" applyBorder="1" applyAlignment="1">
      <alignment horizontal="right"/>
      <protection/>
    </xf>
    <xf numFmtId="49" fontId="1" fillId="0" borderId="10" xfId="33" applyNumberFormat="1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195" fontId="9" fillId="0" borderId="0" xfId="0" applyNumberFormat="1" applyFont="1" applyFill="1" applyBorder="1" applyAlignment="1">
      <alignment horizontal="right" wrapText="1"/>
    </xf>
    <xf numFmtId="0" fontId="19" fillId="0" borderId="0" xfId="0" applyFont="1" applyBorder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3" fontId="1" fillId="0" borderId="10" xfId="33" applyNumberFormat="1" applyFont="1" applyFill="1" applyBorder="1" applyAlignment="1">
      <alignment horizontal="center" vertical="center" wrapText="1"/>
      <protection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0" fillId="0" borderId="10" xfId="33" applyNumberFormat="1" applyFont="1" applyFill="1" applyBorder="1" applyAlignment="1">
      <alignment horizontal="left" vertical="center" wrapText="1"/>
      <protection/>
    </xf>
    <xf numFmtId="49" fontId="9" fillId="0" borderId="10" xfId="33" applyNumberFormat="1" applyFont="1" applyFill="1" applyBorder="1" applyAlignment="1">
      <alignment horizontal="left" vertical="center" wrapText="1"/>
      <protection/>
    </xf>
    <xf numFmtId="49" fontId="12" fillId="0" borderId="10" xfId="33" applyNumberFormat="1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3" fontId="3" fillId="0" borderId="10" xfId="33" applyNumberFormat="1" applyFont="1" applyFill="1" applyBorder="1" applyAlignment="1">
      <alignment horizontal="center" vertical="center" wrapText="1"/>
      <protection/>
    </xf>
    <xf numFmtId="4" fontId="10" fillId="33" borderId="10" xfId="0" applyNumberFormat="1" applyFont="1" applyFill="1" applyBorder="1" applyAlignment="1">
      <alignment horizontal="right" wrapText="1"/>
    </xf>
    <xf numFmtId="4" fontId="9" fillId="33" borderId="10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194" fontId="9" fillId="0" borderId="0" xfId="33" applyNumberFormat="1" applyFont="1" applyFill="1" applyBorder="1" applyAlignment="1">
      <alignment horizontal="center"/>
      <protection/>
    </xf>
    <xf numFmtId="49" fontId="1" fillId="0" borderId="10" xfId="33" applyNumberFormat="1" applyFont="1" applyFill="1" applyBorder="1" applyAlignment="1">
      <alignment horizontal="center" vertical="center" wrapText="1"/>
      <protection/>
    </xf>
    <xf numFmtId="194" fontId="13" fillId="0" borderId="21" xfId="33" applyNumberFormat="1" applyFont="1" applyFill="1" applyBorder="1" applyAlignment="1">
      <alignment horizontal="right" wrapText="1"/>
      <protection/>
    </xf>
    <xf numFmtId="194" fontId="16" fillId="0" borderId="0" xfId="33" applyNumberFormat="1" applyFont="1" applyFill="1" applyBorder="1" applyAlignment="1">
      <alignment horizontal="center"/>
      <protection/>
    </xf>
    <xf numFmtId="4" fontId="14" fillId="0" borderId="0" xfId="0" applyNumberFormat="1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7" fillId="33" borderId="0" xfId="0" applyFont="1" applyFill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94" fontId="16" fillId="0" borderId="0" xfId="33" applyNumberFormat="1" applyFont="1" applyFill="1" applyBorder="1" applyAlignment="1">
      <alignment horizontal="center" wrapText="1"/>
      <protection/>
    </xf>
    <xf numFmtId="0" fontId="14" fillId="33" borderId="11" xfId="0" applyFont="1" applyFill="1" applyBorder="1" applyAlignment="1">
      <alignment horizontal="center" wrapText="1"/>
    </xf>
    <xf numFmtId="0" fontId="14" fillId="33" borderId="12" xfId="0" applyFont="1" applyFill="1" applyBorder="1" applyAlignment="1">
      <alignment horizontal="center" wrapText="1"/>
    </xf>
    <xf numFmtId="0" fontId="14" fillId="33" borderId="23" xfId="0" applyFont="1" applyFill="1" applyBorder="1" applyAlignment="1">
      <alignment horizontal="center" wrapText="1"/>
    </xf>
    <xf numFmtId="0" fontId="17" fillId="33" borderId="0" xfId="0" applyFont="1" applyFill="1" applyBorder="1" applyAlignment="1">
      <alignment horizontal="right" wrapText="1"/>
    </xf>
    <xf numFmtId="0" fontId="18" fillId="33" borderId="0" xfId="0" applyFont="1" applyFill="1" applyAlignment="1">
      <alignment horizontal="right" wrapText="1"/>
    </xf>
    <xf numFmtId="0" fontId="17" fillId="33" borderId="0" xfId="0" applyFont="1" applyFill="1" applyBorder="1" applyAlignment="1">
      <alignment horizontal="right"/>
    </xf>
    <xf numFmtId="0" fontId="14" fillId="18" borderId="23" xfId="0" applyFont="1" applyFill="1" applyBorder="1" applyAlignment="1">
      <alignment horizontal="center" wrapText="1"/>
    </xf>
    <xf numFmtId="0" fontId="14" fillId="18" borderId="12" xfId="0" applyFont="1" applyFill="1" applyBorder="1" applyAlignment="1">
      <alignment horizontal="center" wrapText="1"/>
    </xf>
    <xf numFmtId="194" fontId="16" fillId="33" borderId="0" xfId="33" applyNumberFormat="1" applyFont="1" applyFill="1" applyBorder="1" applyAlignment="1">
      <alignment horizontal="center"/>
      <protection/>
    </xf>
    <xf numFmtId="194" fontId="13" fillId="33" borderId="21" xfId="33" applyNumberFormat="1" applyFont="1" applyFill="1" applyBorder="1" applyAlignment="1">
      <alignment horizontal="right" wrapText="1"/>
      <protection/>
    </xf>
    <xf numFmtId="49" fontId="1" fillId="33" borderId="10" xfId="33" applyNumberFormat="1" applyFont="1" applyFill="1" applyBorder="1" applyAlignment="1">
      <alignment horizontal="center" vertical="center" wrapText="1"/>
      <protection/>
    </xf>
    <xf numFmtId="49" fontId="9" fillId="0" borderId="14" xfId="33" applyNumberFormat="1" applyFont="1" applyFill="1" applyBorder="1" applyAlignment="1">
      <alignment horizontal="center" vertical="center" wrapText="1"/>
      <protection/>
    </xf>
    <xf numFmtId="49" fontId="9" fillId="0" borderId="13" xfId="33" applyNumberFormat="1" applyFont="1" applyFill="1" applyBorder="1" applyAlignment="1">
      <alignment horizontal="center" vertical="center" wrapText="1"/>
      <protection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14" fillId="37" borderId="11" xfId="0" applyFont="1" applyFill="1" applyBorder="1" applyAlignment="1">
      <alignment horizontal="center" wrapText="1"/>
    </xf>
    <xf numFmtId="0" fontId="14" fillId="37" borderId="1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 wrapText="1"/>
    </xf>
    <xf numFmtId="0" fontId="18" fillId="0" borderId="0" xfId="0" applyFont="1" applyFill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194" fontId="16" fillId="33" borderId="10" xfId="33" applyNumberFormat="1" applyFont="1" applyFill="1" applyBorder="1" applyAlignment="1">
      <alignment horizontal="center"/>
      <protection/>
    </xf>
    <xf numFmtId="0" fontId="1" fillId="0" borderId="10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wrapText="1"/>
    </xf>
    <xf numFmtId="0" fontId="17" fillId="33" borderId="10" xfId="0" applyFont="1" applyFill="1" applyBorder="1" applyAlignment="1">
      <alignment horizontal="right" wrapText="1"/>
    </xf>
    <xf numFmtId="0" fontId="17" fillId="33" borderId="10" xfId="0" applyFont="1" applyFill="1" applyBorder="1" applyAlignment="1">
      <alignment horizontal="right"/>
    </xf>
    <xf numFmtId="194" fontId="9" fillId="0" borderId="10" xfId="33" applyNumberFormat="1" applyFont="1" applyFill="1" applyBorder="1" applyAlignment="1">
      <alignment horizontal="center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54"/>
  <sheetViews>
    <sheetView view="pageBreakPreview" zoomScale="85" zoomScaleNormal="75" zoomScaleSheetLayoutView="85" zoomScalePageLayoutView="0" workbookViewId="0" topLeftCell="A1">
      <pane xSplit="5" ySplit="13" topLeftCell="I13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O229" sqref="O229:O230"/>
    </sheetView>
  </sheetViews>
  <sheetFormatPr defaultColWidth="9.140625" defaultRowHeight="12.75"/>
  <cols>
    <col min="1" max="1" width="5.140625" style="22" bestFit="1" customWidth="1"/>
    <col min="2" max="2" width="3.7109375" style="41" customWidth="1"/>
    <col min="3" max="3" width="4.28125" style="41" customWidth="1"/>
    <col min="4" max="4" width="7.00390625" style="41" customWidth="1"/>
    <col min="5" max="5" width="81.57421875" style="22" customWidth="1"/>
    <col min="6" max="6" width="16.00390625" style="22" hidden="1" customWidth="1"/>
    <col min="7" max="7" width="18.8515625" style="22" hidden="1" customWidth="1"/>
    <col min="8" max="8" width="9.8515625" style="22" hidden="1" customWidth="1"/>
    <col min="9" max="9" width="16.7109375" style="22" customWidth="1"/>
    <col min="10" max="10" width="18.00390625" style="22" customWidth="1"/>
    <col min="11" max="12" width="16.7109375" style="22" customWidth="1"/>
    <col min="13" max="14" width="16.7109375" style="29" customWidth="1"/>
    <col min="15" max="15" width="17.421875" style="22" bestFit="1" customWidth="1"/>
    <col min="16" max="16" width="9.140625" style="22" customWidth="1"/>
    <col min="17" max="17" width="20.8515625" style="22" customWidth="1"/>
    <col min="18" max="19" width="9.140625" style="22" customWidth="1"/>
    <col min="20" max="20" width="16.00390625" style="22" customWidth="1"/>
    <col min="21" max="21" width="9.140625" style="22" customWidth="1"/>
    <col min="22" max="22" width="15.57421875" style="22" customWidth="1"/>
    <col min="23" max="23" width="12.57421875" style="22" customWidth="1"/>
    <col min="24" max="16384" width="9.140625" style="22" customWidth="1"/>
  </cols>
  <sheetData>
    <row r="1" spans="4:14" ht="15" customHeight="1">
      <c r="D1" s="22"/>
      <c r="N1" s="219" t="s">
        <v>197</v>
      </c>
    </row>
    <row r="2" spans="2:14" ht="15" customHeight="1"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83"/>
      <c r="N2" s="218" t="s">
        <v>435</v>
      </c>
    </row>
    <row r="3" spans="2:14" ht="15" customHeight="1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83"/>
      <c r="N3" s="218" t="s">
        <v>199</v>
      </c>
    </row>
    <row r="4" spans="2:14" ht="15" customHeight="1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83"/>
      <c r="N4" s="218" t="s">
        <v>436</v>
      </c>
    </row>
    <row r="5" spans="2:14" ht="15" customHeight="1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83"/>
      <c r="N5" s="220" t="s">
        <v>437</v>
      </c>
    </row>
    <row r="6" spans="1:14" ht="1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</row>
    <row r="7" spans="1:14" ht="1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</row>
    <row r="8" spans="2:14" ht="15" customHeight="1">
      <c r="B8" s="71"/>
      <c r="C8" s="71"/>
      <c r="D8" s="71"/>
      <c r="E8" s="285" t="s">
        <v>434</v>
      </c>
      <c r="F8" s="285"/>
      <c r="G8" s="285"/>
      <c r="H8" s="285"/>
      <c r="I8" s="285"/>
      <c r="J8" s="285"/>
      <c r="K8" s="285"/>
      <c r="L8" s="285"/>
      <c r="M8" s="285"/>
      <c r="N8" s="285"/>
    </row>
    <row r="9" spans="2:13" ht="15" customHeigh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83"/>
    </row>
    <row r="10" spans="2:14" ht="15" customHeight="1">
      <c r="B10" s="285" t="s">
        <v>312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N10" s="285"/>
    </row>
    <row r="11" spans="2:14" ht="15.75" customHeight="1">
      <c r="B11" s="30"/>
      <c r="C11" s="30"/>
      <c r="D11" s="30"/>
      <c r="E11" s="203"/>
      <c r="F11" s="203"/>
      <c r="G11" s="203"/>
      <c r="H11" s="203"/>
      <c r="I11" s="284"/>
      <c r="J11" s="284"/>
      <c r="K11" s="284"/>
      <c r="L11" s="284"/>
      <c r="N11" s="204" t="s">
        <v>174</v>
      </c>
    </row>
    <row r="12" spans="1:14" ht="18" customHeight="1">
      <c r="A12" s="283" t="s">
        <v>0</v>
      </c>
      <c r="B12" s="283"/>
      <c r="C12" s="283"/>
      <c r="D12" s="283"/>
      <c r="E12" s="197" t="s">
        <v>1</v>
      </c>
      <c r="F12" s="197"/>
      <c r="G12" s="179"/>
      <c r="H12" s="180" t="s">
        <v>332</v>
      </c>
      <c r="I12" s="281">
        <v>2019</v>
      </c>
      <c r="J12" s="280"/>
      <c r="K12" s="281">
        <v>2020</v>
      </c>
      <c r="L12" s="280"/>
      <c r="M12" s="279">
        <v>2021</v>
      </c>
      <c r="N12" s="280"/>
    </row>
    <row r="13" spans="1:14" s="44" customFormat="1" ht="18" customHeight="1">
      <c r="A13" s="81" t="s">
        <v>73</v>
      </c>
      <c r="B13" s="31" t="s">
        <v>74</v>
      </c>
      <c r="C13" s="32"/>
      <c r="D13" s="33" t="s">
        <v>75</v>
      </c>
      <c r="E13" s="34"/>
      <c r="F13" s="34"/>
      <c r="G13" s="180" t="s">
        <v>334</v>
      </c>
      <c r="H13" s="180" t="s">
        <v>333</v>
      </c>
      <c r="I13" s="82" t="s">
        <v>104</v>
      </c>
      <c r="J13" s="82" t="s">
        <v>26</v>
      </c>
      <c r="K13" s="82" t="s">
        <v>104</v>
      </c>
      <c r="L13" s="82" t="s">
        <v>26</v>
      </c>
      <c r="M13" s="82" t="s">
        <v>104</v>
      </c>
      <c r="N13" s="82" t="s">
        <v>26</v>
      </c>
    </row>
    <row r="14" spans="1:14" s="44" customFormat="1" ht="18" customHeight="1">
      <c r="A14" s="22"/>
      <c r="B14" s="36"/>
      <c r="C14" s="36"/>
      <c r="D14" s="45"/>
      <c r="E14" s="20"/>
      <c r="F14" s="216"/>
      <c r="G14" s="216"/>
      <c r="H14" s="216"/>
      <c r="I14" s="82"/>
      <c r="J14" s="82"/>
      <c r="K14" s="82"/>
      <c r="L14" s="82"/>
      <c r="M14" s="213"/>
      <c r="N14" s="82"/>
    </row>
    <row r="15" spans="2:14" ht="21" customHeight="1">
      <c r="B15" s="36"/>
      <c r="C15" s="36"/>
      <c r="D15" s="36"/>
      <c r="E15" s="78" t="s">
        <v>2</v>
      </c>
      <c r="F15" s="78"/>
      <c r="G15" s="78"/>
      <c r="H15" s="78"/>
      <c r="I15" s="152">
        <f aca="true" t="shared" si="0" ref="I15:N15">I16</f>
        <v>2.7</v>
      </c>
      <c r="J15" s="152">
        <f>J16</f>
        <v>3438</v>
      </c>
      <c r="K15" s="152">
        <f t="shared" si="0"/>
        <v>2.7</v>
      </c>
      <c r="L15" s="152">
        <f t="shared" si="0"/>
        <v>14789</v>
      </c>
      <c r="M15" s="198">
        <f t="shared" si="0"/>
        <v>2.7</v>
      </c>
      <c r="N15" s="152">
        <f t="shared" si="0"/>
        <v>8833.4</v>
      </c>
    </row>
    <row r="16" spans="2:14" ht="18" customHeight="1">
      <c r="B16" s="36"/>
      <c r="C16" s="36"/>
      <c r="D16" s="36"/>
      <c r="E16" s="79" t="s">
        <v>313</v>
      </c>
      <c r="F16" s="79"/>
      <c r="G16" s="79"/>
      <c r="H16" s="79"/>
      <c r="I16" s="153">
        <f>I17+I18+I20</f>
        <v>2.7</v>
      </c>
      <c r="J16" s="153">
        <f>SUM(J18:J22)</f>
        <v>3438</v>
      </c>
      <c r="K16" s="153">
        <f>K17</f>
        <v>2.7</v>
      </c>
      <c r="L16" s="153">
        <f>SUM(L18:L22)</f>
        <v>14789</v>
      </c>
      <c r="M16" s="153">
        <f>M17</f>
        <v>2.7</v>
      </c>
      <c r="N16" s="153">
        <f>SUM(N18:N20)</f>
        <v>8833.4</v>
      </c>
    </row>
    <row r="17" spans="1:14" ht="18" customHeight="1">
      <c r="A17" s="22">
        <v>3111</v>
      </c>
      <c r="B17" s="36">
        <v>25</v>
      </c>
      <c r="C17" s="36">
        <v>911</v>
      </c>
      <c r="D17" s="45">
        <v>70499</v>
      </c>
      <c r="E17" s="20" t="s">
        <v>391</v>
      </c>
      <c r="F17" s="79"/>
      <c r="G17" s="20" t="s">
        <v>360</v>
      </c>
      <c r="H17" s="20" t="s">
        <v>416</v>
      </c>
      <c r="I17" s="155">
        <v>2.7</v>
      </c>
      <c r="J17" s="155"/>
      <c r="K17" s="155">
        <v>2.7</v>
      </c>
      <c r="L17" s="155"/>
      <c r="M17" s="155">
        <v>2.7</v>
      </c>
      <c r="N17" s="153"/>
    </row>
    <row r="18" spans="1:14" ht="18" customHeight="1">
      <c r="A18" s="22">
        <v>3111</v>
      </c>
      <c r="B18" s="36">
        <v>25</v>
      </c>
      <c r="C18" s="36">
        <v>921</v>
      </c>
      <c r="D18" s="45">
        <v>70499</v>
      </c>
      <c r="E18" s="20" t="s">
        <v>348</v>
      </c>
      <c r="F18" s="20" t="s">
        <v>374</v>
      </c>
      <c r="G18" s="20" t="s">
        <v>360</v>
      </c>
      <c r="H18" s="20" t="s">
        <v>332</v>
      </c>
      <c r="I18" s="153"/>
      <c r="J18" s="155">
        <v>98</v>
      </c>
      <c r="K18" s="153"/>
      <c r="L18" s="155">
        <v>1160</v>
      </c>
      <c r="M18" s="199"/>
      <c r="N18" s="155">
        <f>115*1.16</f>
        <v>133.39999999999998</v>
      </c>
    </row>
    <row r="19" spans="1:15" ht="33">
      <c r="A19" s="22">
        <v>3214</v>
      </c>
      <c r="B19" s="36">
        <v>25</v>
      </c>
      <c r="C19" s="36">
        <v>921</v>
      </c>
      <c r="D19" s="45">
        <v>70499</v>
      </c>
      <c r="E19" s="20" t="s">
        <v>348</v>
      </c>
      <c r="F19" s="20" t="s">
        <v>374</v>
      </c>
      <c r="G19" s="20" t="s">
        <v>360</v>
      </c>
      <c r="H19" s="20" t="s">
        <v>332</v>
      </c>
      <c r="I19" s="155"/>
      <c r="J19" s="155">
        <v>2630</v>
      </c>
      <c r="K19" s="155"/>
      <c r="L19" s="155">
        <v>2320</v>
      </c>
      <c r="M19" s="196"/>
      <c r="N19" s="156"/>
      <c r="O19" s="22">
        <v>-5050</v>
      </c>
    </row>
    <row r="20" spans="1:14" ht="33">
      <c r="A20" s="22">
        <v>3214</v>
      </c>
      <c r="B20" s="36">
        <v>25</v>
      </c>
      <c r="C20" s="36">
        <v>931</v>
      </c>
      <c r="D20" s="45">
        <v>70499</v>
      </c>
      <c r="E20" s="20" t="s">
        <v>169</v>
      </c>
      <c r="F20" s="20" t="s">
        <v>375</v>
      </c>
      <c r="G20" s="20" t="s">
        <v>360</v>
      </c>
      <c r="H20" s="20" t="s">
        <v>333</v>
      </c>
      <c r="I20" s="155"/>
      <c r="J20" s="155"/>
      <c r="K20" s="155"/>
      <c r="L20" s="155">
        <f>8500*1.16</f>
        <v>9860</v>
      </c>
      <c r="M20" s="196"/>
      <c r="N20" s="156">
        <f>7500*1.16</f>
        <v>8700</v>
      </c>
    </row>
    <row r="21" spans="1:14" ht="33">
      <c r="A21" s="22">
        <v>3111</v>
      </c>
      <c r="B21" s="36">
        <v>25</v>
      </c>
      <c r="C21" s="36">
        <v>921</v>
      </c>
      <c r="D21" s="45">
        <v>70499</v>
      </c>
      <c r="E21" s="20" t="s">
        <v>420</v>
      </c>
      <c r="F21" s="20" t="s">
        <v>377</v>
      </c>
      <c r="G21" s="20" t="s">
        <v>360</v>
      </c>
      <c r="H21" s="20" t="s">
        <v>332</v>
      </c>
      <c r="I21" s="155"/>
      <c r="J21" s="155">
        <v>135</v>
      </c>
      <c r="K21" s="155"/>
      <c r="L21" s="155">
        <v>174</v>
      </c>
      <c r="M21" s="196"/>
      <c r="N21" s="156"/>
    </row>
    <row r="22" spans="1:14" ht="33">
      <c r="A22" s="22">
        <v>3214</v>
      </c>
      <c r="B22" s="36">
        <v>25</v>
      </c>
      <c r="C22" s="36">
        <v>931</v>
      </c>
      <c r="D22" s="45">
        <v>70499</v>
      </c>
      <c r="E22" s="20" t="s">
        <v>421</v>
      </c>
      <c r="F22" s="20" t="s">
        <v>377</v>
      </c>
      <c r="G22" s="20" t="s">
        <v>360</v>
      </c>
      <c r="H22" s="20" t="s">
        <v>333</v>
      </c>
      <c r="I22" s="155"/>
      <c r="J22" s="155">
        <v>575</v>
      </c>
      <c r="K22" s="155"/>
      <c r="L22" s="155">
        <v>1275</v>
      </c>
      <c r="M22" s="196"/>
      <c r="N22" s="156"/>
    </row>
    <row r="23" spans="2:14" ht="18" customHeight="1">
      <c r="B23" s="36"/>
      <c r="C23" s="36"/>
      <c r="D23" s="40"/>
      <c r="E23" s="20"/>
      <c r="F23" s="20"/>
      <c r="G23" s="20"/>
      <c r="H23" s="20"/>
      <c r="I23" s="155"/>
      <c r="J23" s="155"/>
      <c r="K23" s="155"/>
      <c r="L23" s="155"/>
      <c r="M23" s="196"/>
      <c r="N23" s="156"/>
    </row>
    <row r="24" spans="2:14" ht="18" customHeight="1">
      <c r="B24" s="36"/>
      <c r="C24" s="36"/>
      <c r="D24" s="36"/>
      <c r="E24" s="78" t="s">
        <v>41</v>
      </c>
      <c r="F24" s="78"/>
      <c r="G24" s="78"/>
      <c r="H24" s="78"/>
      <c r="I24" s="152">
        <f>I25</f>
        <v>183.4</v>
      </c>
      <c r="J24" s="152">
        <f>J25</f>
        <v>1336.1</v>
      </c>
      <c r="K24" s="152"/>
      <c r="L24" s="152"/>
      <c r="M24" s="198"/>
      <c r="N24" s="152"/>
    </row>
    <row r="25" spans="2:14" ht="18" customHeight="1">
      <c r="B25" s="36"/>
      <c r="C25" s="36"/>
      <c r="D25" s="36"/>
      <c r="E25" s="79" t="s">
        <v>313</v>
      </c>
      <c r="F25" s="79"/>
      <c r="G25" s="79"/>
      <c r="H25" s="79"/>
      <c r="I25" s="153">
        <f>I26</f>
        <v>183.4</v>
      </c>
      <c r="J25" s="153">
        <f>SUM(J26:J28)</f>
        <v>1336.1</v>
      </c>
      <c r="K25" s="153"/>
      <c r="L25" s="153"/>
      <c r="M25" s="153"/>
      <c r="N25" s="153"/>
    </row>
    <row r="26" spans="1:15" ht="18" customHeight="1">
      <c r="A26" s="22">
        <v>3111</v>
      </c>
      <c r="B26" s="36">
        <v>28</v>
      </c>
      <c r="C26" s="36">
        <v>910</v>
      </c>
      <c r="D26" s="45">
        <v>70499</v>
      </c>
      <c r="E26" s="19" t="s">
        <v>102</v>
      </c>
      <c r="F26" s="19"/>
      <c r="G26" s="19" t="s">
        <v>359</v>
      </c>
      <c r="H26" s="19" t="s">
        <v>415</v>
      </c>
      <c r="I26" s="155">
        <v>183.4</v>
      </c>
      <c r="J26" s="155"/>
      <c r="K26" s="155"/>
      <c r="L26" s="156"/>
      <c r="M26" s="200"/>
      <c r="N26" s="156"/>
      <c r="O26" s="205"/>
    </row>
    <row r="27" spans="1:14" ht="18" customHeight="1">
      <c r="A27" s="22">
        <v>3111</v>
      </c>
      <c r="B27" s="36">
        <v>28</v>
      </c>
      <c r="C27" s="36">
        <v>920</v>
      </c>
      <c r="D27" s="45">
        <v>70499</v>
      </c>
      <c r="E27" s="19" t="s">
        <v>101</v>
      </c>
      <c r="F27" s="19" t="s">
        <v>376</v>
      </c>
      <c r="G27" s="19" t="s">
        <v>359</v>
      </c>
      <c r="H27" s="19" t="s">
        <v>332</v>
      </c>
      <c r="I27" s="155"/>
      <c r="J27" s="155">
        <v>336.1</v>
      </c>
      <c r="K27" s="155"/>
      <c r="L27" s="155"/>
      <c r="M27" s="196"/>
      <c r="N27" s="156"/>
    </row>
    <row r="28" spans="1:15" ht="18" customHeight="1">
      <c r="A28" s="22">
        <v>3111</v>
      </c>
      <c r="B28" s="36">
        <v>28</v>
      </c>
      <c r="C28" s="36">
        <v>930</v>
      </c>
      <c r="D28" s="45">
        <v>70499</v>
      </c>
      <c r="E28" s="19" t="s">
        <v>100</v>
      </c>
      <c r="F28" s="19" t="s">
        <v>376</v>
      </c>
      <c r="G28" s="19" t="s">
        <v>359</v>
      </c>
      <c r="H28" s="19" t="s">
        <v>333</v>
      </c>
      <c r="I28" s="155"/>
      <c r="J28" s="155">
        <v>1000</v>
      </c>
      <c r="K28" s="155"/>
      <c r="L28" s="155"/>
      <c r="M28" s="196"/>
      <c r="N28" s="156"/>
      <c r="O28" s="22">
        <v>-281.6</v>
      </c>
    </row>
    <row r="29" spans="2:14" ht="16.5">
      <c r="B29" s="36"/>
      <c r="C29" s="36"/>
      <c r="D29" s="45"/>
      <c r="E29" s="20"/>
      <c r="F29" s="20"/>
      <c r="G29" s="20"/>
      <c r="H29" s="20"/>
      <c r="I29" s="155"/>
      <c r="J29" s="155"/>
      <c r="K29" s="155"/>
      <c r="L29" s="155"/>
      <c r="M29" s="196"/>
      <c r="N29" s="155"/>
    </row>
    <row r="30" spans="2:14" ht="18" customHeight="1">
      <c r="B30" s="36"/>
      <c r="C30" s="36"/>
      <c r="D30" s="36"/>
      <c r="E30" s="78" t="s">
        <v>7</v>
      </c>
      <c r="F30" s="78"/>
      <c r="G30" s="78"/>
      <c r="H30" s="78"/>
      <c r="I30" s="152">
        <f aca="true" t="shared" si="1" ref="I30:N30">I31</f>
        <v>665.6</v>
      </c>
      <c r="J30" s="152">
        <f t="shared" si="1"/>
        <v>5056.7</v>
      </c>
      <c r="K30" s="152">
        <f t="shared" si="1"/>
        <v>1219</v>
      </c>
      <c r="L30" s="152">
        <f t="shared" si="1"/>
        <v>9367</v>
      </c>
      <c r="M30" s="198">
        <f t="shared" si="1"/>
        <v>918</v>
      </c>
      <c r="N30" s="152">
        <f t="shared" si="1"/>
        <v>6890.5</v>
      </c>
    </row>
    <row r="31" spans="2:14" ht="18" customHeight="1">
      <c r="B31" s="36"/>
      <c r="C31" s="36"/>
      <c r="D31" s="36"/>
      <c r="E31" s="79" t="s">
        <v>313</v>
      </c>
      <c r="F31" s="79"/>
      <c r="G31" s="79"/>
      <c r="H31" s="79"/>
      <c r="I31" s="153">
        <f>SUM(I32:I41)</f>
        <v>665.6</v>
      </c>
      <c r="J31" s="153">
        <f>SUM(J32:J41)</f>
        <v>5056.7</v>
      </c>
      <c r="K31" s="153">
        <f>SUM(K32:K41)</f>
        <v>1219</v>
      </c>
      <c r="L31" s="153">
        <f>SUM(L32:L41)</f>
        <v>9367</v>
      </c>
      <c r="M31" s="153">
        <f>SUM(M32:M40)</f>
        <v>918</v>
      </c>
      <c r="N31" s="153">
        <f>SUM(N32:N41)</f>
        <v>6890.5</v>
      </c>
    </row>
    <row r="32" spans="1:14" ht="18" customHeight="1">
      <c r="A32" s="22">
        <v>3111</v>
      </c>
      <c r="B32" s="36">
        <v>34</v>
      </c>
      <c r="C32" s="36">
        <v>911</v>
      </c>
      <c r="D32" s="45">
        <v>70989</v>
      </c>
      <c r="E32" s="20" t="s">
        <v>337</v>
      </c>
      <c r="F32" s="20"/>
      <c r="G32" s="20" t="s">
        <v>358</v>
      </c>
      <c r="H32" s="20" t="s">
        <v>415</v>
      </c>
      <c r="I32" s="155">
        <v>35</v>
      </c>
      <c r="J32" s="155"/>
      <c r="K32" s="155"/>
      <c r="L32" s="155"/>
      <c r="M32" s="196"/>
      <c r="N32" s="156"/>
    </row>
    <row r="33" spans="1:14" ht="18" customHeight="1">
      <c r="A33" s="22">
        <v>3111</v>
      </c>
      <c r="B33" s="36">
        <v>34</v>
      </c>
      <c r="C33" s="36">
        <v>921</v>
      </c>
      <c r="D33" s="45">
        <v>70989</v>
      </c>
      <c r="E33" s="20" t="s">
        <v>423</v>
      </c>
      <c r="F33" s="20"/>
      <c r="G33" s="20"/>
      <c r="H33" s="20"/>
      <c r="I33" s="155"/>
      <c r="J33" s="155">
        <v>653.6</v>
      </c>
      <c r="K33" s="155"/>
      <c r="L33" s="155"/>
      <c r="M33" s="196"/>
      <c r="N33" s="156"/>
    </row>
    <row r="34" spans="1:14" ht="18" customHeight="1">
      <c r="A34" s="22">
        <v>3111</v>
      </c>
      <c r="B34" s="36">
        <v>34</v>
      </c>
      <c r="C34" s="36">
        <v>931</v>
      </c>
      <c r="D34" s="45">
        <v>70989</v>
      </c>
      <c r="E34" s="20" t="s">
        <v>424</v>
      </c>
      <c r="F34" s="20"/>
      <c r="G34" s="20"/>
      <c r="H34" s="20"/>
      <c r="I34" s="155"/>
      <c r="J34" s="155">
        <v>738.6</v>
      </c>
      <c r="K34" s="155"/>
      <c r="L34" s="155"/>
      <c r="M34" s="196"/>
      <c r="N34" s="156"/>
    </row>
    <row r="35" spans="1:22" ht="16.5">
      <c r="A35" s="22">
        <v>3111</v>
      </c>
      <c r="B35" s="36">
        <v>34</v>
      </c>
      <c r="C35" s="36">
        <v>911</v>
      </c>
      <c r="D35" s="45">
        <v>70989</v>
      </c>
      <c r="E35" s="20" t="s">
        <v>288</v>
      </c>
      <c r="F35" s="20" t="s">
        <v>376</v>
      </c>
      <c r="G35" s="20" t="s">
        <v>358</v>
      </c>
      <c r="H35" s="20" t="s">
        <v>415</v>
      </c>
      <c r="I35" s="155">
        <v>233.6</v>
      </c>
      <c r="J35" s="155"/>
      <c r="K35" s="155">
        <v>532</v>
      </c>
      <c r="L35" s="155"/>
      <c r="M35" s="200">
        <v>340</v>
      </c>
      <c r="N35" s="156"/>
      <c r="R35" s="205"/>
      <c r="T35" s="205"/>
      <c r="V35" s="205"/>
    </row>
    <row r="36" spans="1:15" ht="33">
      <c r="A36" s="22">
        <v>3111</v>
      </c>
      <c r="B36" s="36">
        <v>34</v>
      </c>
      <c r="C36" s="36">
        <v>921</v>
      </c>
      <c r="D36" s="45">
        <v>70989</v>
      </c>
      <c r="E36" s="20" t="s">
        <v>208</v>
      </c>
      <c r="F36" s="20" t="s">
        <v>376</v>
      </c>
      <c r="G36" s="20" t="s">
        <v>358</v>
      </c>
      <c r="H36" s="20" t="s">
        <v>332</v>
      </c>
      <c r="I36" s="155"/>
      <c r="J36" s="155">
        <v>1500</v>
      </c>
      <c r="K36" s="155"/>
      <c r="L36" s="155">
        <v>3000</v>
      </c>
      <c r="M36" s="196"/>
      <c r="N36" s="156">
        <v>1515.5</v>
      </c>
      <c r="O36" s="22">
        <v>-500</v>
      </c>
    </row>
    <row r="37" spans="1:17" ht="24.75" customHeight="1">
      <c r="A37" s="22">
        <v>3111</v>
      </c>
      <c r="B37" s="36">
        <v>34</v>
      </c>
      <c r="C37" s="36">
        <v>911</v>
      </c>
      <c r="D37" s="45">
        <v>70989</v>
      </c>
      <c r="E37" s="20" t="s">
        <v>38</v>
      </c>
      <c r="F37" s="20" t="s">
        <v>376</v>
      </c>
      <c r="G37" s="20" t="s">
        <v>358</v>
      </c>
      <c r="H37" s="20" t="s">
        <v>415</v>
      </c>
      <c r="I37" s="155">
        <v>240</v>
      </c>
      <c r="J37" s="155"/>
      <c r="K37" s="155"/>
      <c r="L37" s="156"/>
      <c r="M37" s="200"/>
      <c r="N37" s="156"/>
      <c r="Q37" s="217"/>
    </row>
    <row r="38" spans="1:14" ht="31.5" customHeight="1">
      <c r="A38" s="22">
        <v>3111</v>
      </c>
      <c r="B38" s="36">
        <v>34</v>
      </c>
      <c r="C38" s="36">
        <v>921</v>
      </c>
      <c r="D38" s="45">
        <v>70989</v>
      </c>
      <c r="E38" s="20" t="s">
        <v>27</v>
      </c>
      <c r="F38" s="20" t="s">
        <v>376</v>
      </c>
      <c r="G38" s="20" t="s">
        <v>358</v>
      </c>
      <c r="H38" s="20" t="s">
        <v>332</v>
      </c>
      <c r="I38" s="155"/>
      <c r="J38" s="155">
        <v>492.5</v>
      </c>
      <c r="K38" s="155"/>
      <c r="L38" s="155"/>
      <c r="M38" s="196"/>
      <c r="N38" s="156"/>
    </row>
    <row r="39" spans="1:25" ht="38.25" customHeight="1">
      <c r="A39" s="22">
        <v>3111</v>
      </c>
      <c r="B39" s="36">
        <v>34</v>
      </c>
      <c r="C39" s="36">
        <v>931</v>
      </c>
      <c r="D39" s="45">
        <v>70989</v>
      </c>
      <c r="E39" s="20" t="s">
        <v>39</v>
      </c>
      <c r="F39" s="20" t="s">
        <v>376</v>
      </c>
      <c r="G39" s="20" t="s">
        <v>358</v>
      </c>
      <c r="H39" s="20" t="s">
        <v>333</v>
      </c>
      <c r="I39" s="155"/>
      <c r="J39" s="155">
        <v>222</v>
      </c>
      <c r="K39" s="155"/>
      <c r="L39" s="155"/>
      <c r="M39" s="196"/>
      <c r="N39" s="156"/>
      <c r="V39" s="193"/>
      <c r="W39" s="49"/>
      <c r="X39" s="193"/>
      <c r="Y39" s="49"/>
    </row>
    <row r="40" spans="1:14" ht="16.5">
      <c r="A40" s="22">
        <v>3111</v>
      </c>
      <c r="B40" s="36">
        <v>34</v>
      </c>
      <c r="C40" s="36">
        <v>911</v>
      </c>
      <c r="D40" s="45">
        <v>70989</v>
      </c>
      <c r="E40" s="20" t="s">
        <v>367</v>
      </c>
      <c r="F40" s="20" t="s">
        <v>376</v>
      </c>
      <c r="G40" s="20" t="s">
        <v>358</v>
      </c>
      <c r="H40" s="20" t="s">
        <v>415</v>
      </c>
      <c r="I40" s="155">
        <v>157</v>
      </c>
      <c r="J40" s="155"/>
      <c r="K40" s="155">
        <v>687</v>
      </c>
      <c r="L40" s="155"/>
      <c r="M40" s="196">
        <v>578</v>
      </c>
      <c r="N40" s="155"/>
    </row>
    <row r="41" spans="1:14" ht="33">
      <c r="A41" s="22">
        <v>3111</v>
      </c>
      <c r="B41" s="36">
        <v>34</v>
      </c>
      <c r="C41" s="36">
        <v>921</v>
      </c>
      <c r="D41" s="45">
        <v>70989</v>
      </c>
      <c r="E41" s="20" t="s">
        <v>368</v>
      </c>
      <c r="F41" s="20" t="s">
        <v>376</v>
      </c>
      <c r="G41" s="20" t="s">
        <v>358</v>
      </c>
      <c r="H41" s="20" t="s">
        <v>332</v>
      </c>
      <c r="I41" s="155"/>
      <c r="J41" s="155">
        <v>1450</v>
      </c>
      <c r="K41" s="155"/>
      <c r="L41" s="155">
        <v>6367</v>
      </c>
      <c r="M41" s="196"/>
      <c r="N41" s="155">
        <v>5375</v>
      </c>
    </row>
    <row r="42" spans="2:14" ht="21.75" customHeight="1">
      <c r="B42" s="36"/>
      <c r="C42" s="36"/>
      <c r="D42" s="45"/>
      <c r="E42" s="20"/>
      <c r="F42" s="20"/>
      <c r="G42" s="20"/>
      <c r="H42" s="20"/>
      <c r="I42" s="155"/>
      <c r="J42" s="155"/>
      <c r="K42" s="155"/>
      <c r="L42" s="155"/>
      <c r="M42" s="196"/>
      <c r="N42" s="156"/>
    </row>
    <row r="43" spans="2:14" ht="18" customHeight="1">
      <c r="B43" s="36"/>
      <c r="C43" s="36"/>
      <c r="D43" s="36"/>
      <c r="E43" s="78" t="s">
        <v>8</v>
      </c>
      <c r="F43" s="78"/>
      <c r="G43" s="78"/>
      <c r="H43" s="78"/>
      <c r="I43" s="152">
        <f aca="true" t="shared" si="2" ref="I43:N43">I44</f>
        <v>291.9</v>
      </c>
      <c r="J43" s="152">
        <f>J44</f>
        <v>13492.5</v>
      </c>
      <c r="K43" s="152">
        <f t="shared" si="2"/>
        <v>2566</v>
      </c>
      <c r="L43" s="152">
        <f t="shared" si="2"/>
        <v>30140.7</v>
      </c>
      <c r="M43" s="152">
        <f t="shared" si="2"/>
        <v>556.5</v>
      </c>
      <c r="N43" s="152">
        <f t="shared" si="2"/>
        <v>23177.5</v>
      </c>
    </row>
    <row r="44" spans="2:14" ht="18" customHeight="1">
      <c r="B44" s="36"/>
      <c r="C44" s="36"/>
      <c r="D44" s="36"/>
      <c r="E44" s="79" t="s">
        <v>313</v>
      </c>
      <c r="F44" s="79"/>
      <c r="G44" s="79"/>
      <c r="H44" s="79"/>
      <c r="I44" s="153">
        <f>SUM(I46:I54)</f>
        <v>291.9</v>
      </c>
      <c r="J44" s="153">
        <f>SUM(J45:J54)</f>
        <v>13492.5</v>
      </c>
      <c r="K44" s="153">
        <f>SUM(K46:K54)</f>
        <v>2566</v>
      </c>
      <c r="L44" s="153">
        <f>SUM(L45:L54)</f>
        <v>30140.7</v>
      </c>
      <c r="M44" s="153">
        <f>SUM(M46:M54)</f>
        <v>556.5</v>
      </c>
      <c r="N44" s="153">
        <f>SUM(N45:N54)</f>
        <v>23177.5</v>
      </c>
    </row>
    <row r="45" spans="1:14" ht="18" customHeight="1">
      <c r="A45" s="22">
        <v>3111</v>
      </c>
      <c r="B45" s="36">
        <v>37</v>
      </c>
      <c r="C45" s="36">
        <v>911</v>
      </c>
      <c r="D45" s="36">
        <v>70769</v>
      </c>
      <c r="E45" s="20" t="s">
        <v>210</v>
      </c>
      <c r="F45" s="20" t="s">
        <v>378</v>
      </c>
      <c r="G45" s="20" t="s">
        <v>356</v>
      </c>
      <c r="H45" s="20" t="s">
        <v>332</v>
      </c>
      <c r="I45" s="153"/>
      <c r="J45" s="155">
        <v>220</v>
      </c>
      <c r="K45" s="153"/>
      <c r="L45" s="155">
        <v>55</v>
      </c>
      <c r="M45" s="199"/>
      <c r="N45" s="155">
        <v>55</v>
      </c>
    </row>
    <row r="46" spans="1:14" ht="16.5">
      <c r="A46" s="22">
        <v>3111</v>
      </c>
      <c r="B46" s="36">
        <v>37</v>
      </c>
      <c r="C46" s="36">
        <v>921</v>
      </c>
      <c r="D46" s="45">
        <v>70769</v>
      </c>
      <c r="E46" s="20" t="s">
        <v>17</v>
      </c>
      <c r="F46" s="20" t="s">
        <v>378</v>
      </c>
      <c r="G46" s="20" t="s">
        <v>356</v>
      </c>
      <c r="H46" s="20" t="s">
        <v>332</v>
      </c>
      <c r="I46" s="155"/>
      <c r="J46" s="155">
        <v>135</v>
      </c>
      <c r="K46" s="155"/>
      <c r="L46" s="155"/>
      <c r="M46" s="196"/>
      <c r="N46" s="156"/>
    </row>
    <row r="47" spans="1:14" ht="18" customHeight="1">
      <c r="A47" s="22">
        <v>3111</v>
      </c>
      <c r="B47" s="36">
        <v>37</v>
      </c>
      <c r="C47" s="36">
        <v>921</v>
      </c>
      <c r="D47" s="45">
        <v>70769</v>
      </c>
      <c r="E47" s="20" t="s">
        <v>324</v>
      </c>
      <c r="F47" s="20" t="s">
        <v>378</v>
      </c>
      <c r="G47" s="20" t="s">
        <v>356</v>
      </c>
      <c r="H47" s="20" t="s">
        <v>332</v>
      </c>
      <c r="I47" s="155"/>
      <c r="J47" s="155">
        <v>78</v>
      </c>
      <c r="K47" s="155"/>
      <c r="L47" s="155">
        <v>857</v>
      </c>
      <c r="M47" s="196"/>
      <c r="N47" s="156"/>
    </row>
    <row r="48" spans="1:14" ht="18" customHeight="1">
      <c r="A48" s="22">
        <v>3111</v>
      </c>
      <c r="B48" s="36">
        <v>37</v>
      </c>
      <c r="C48" s="36">
        <v>911</v>
      </c>
      <c r="D48" s="45">
        <v>70769</v>
      </c>
      <c r="E48" s="20" t="s">
        <v>289</v>
      </c>
      <c r="F48" s="20"/>
      <c r="G48" s="20" t="s">
        <v>356</v>
      </c>
      <c r="H48" s="20" t="s">
        <v>415</v>
      </c>
      <c r="I48" s="155">
        <v>171.1</v>
      </c>
      <c r="J48" s="155"/>
      <c r="K48" s="155">
        <v>1032.5</v>
      </c>
      <c r="L48" s="155"/>
      <c r="M48" s="196"/>
      <c r="N48" s="156"/>
    </row>
    <row r="49" spans="1:15" ht="18" customHeight="1">
      <c r="A49" s="22">
        <v>3111</v>
      </c>
      <c r="B49" s="36">
        <v>37</v>
      </c>
      <c r="C49" s="36">
        <v>921</v>
      </c>
      <c r="D49" s="45">
        <v>70769</v>
      </c>
      <c r="E49" s="20" t="s">
        <v>289</v>
      </c>
      <c r="F49" s="20" t="s">
        <v>378</v>
      </c>
      <c r="G49" s="20" t="s">
        <v>356</v>
      </c>
      <c r="H49" s="20" t="s">
        <v>332</v>
      </c>
      <c r="I49" s="155"/>
      <c r="J49" s="155">
        <v>2925</v>
      </c>
      <c r="K49" s="155"/>
      <c r="L49" s="155">
        <v>3996.7</v>
      </c>
      <c r="M49" s="196"/>
      <c r="N49" s="155"/>
      <c r="O49" s="22">
        <v>-2513</v>
      </c>
    </row>
    <row r="50" spans="1:14" ht="18" customHeight="1">
      <c r="A50" s="22">
        <v>3111</v>
      </c>
      <c r="B50" s="36">
        <v>37</v>
      </c>
      <c r="C50" s="36">
        <v>911</v>
      </c>
      <c r="D50" s="45">
        <v>70769</v>
      </c>
      <c r="E50" s="20" t="s">
        <v>167</v>
      </c>
      <c r="F50" s="20"/>
      <c r="G50" s="20" t="s">
        <v>356</v>
      </c>
      <c r="H50" s="20" t="s">
        <v>415</v>
      </c>
      <c r="I50" s="155">
        <v>120.8</v>
      </c>
      <c r="J50" s="155"/>
      <c r="K50" s="155">
        <v>30.5</v>
      </c>
      <c r="L50" s="155"/>
      <c r="M50" s="196">
        <f>556.5</f>
        <v>556.5</v>
      </c>
      <c r="N50" s="156"/>
    </row>
    <row r="51" spans="1:15" ht="18" customHeight="1">
      <c r="A51" s="22">
        <v>3111</v>
      </c>
      <c r="B51" s="36">
        <v>37</v>
      </c>
      <c r="C51" s="36">
        <v>921</v>
      </c>
      <c r="D51" s="45">
        <v>70769</v>
      </c>
      <c r="E51" s="20" t="s">
        <v>167</v>
      </c>
      <c r="F51" s="20" t="s">
        <v>378</v>
      </c>
      <c r="G51" s="20" t="s">
        <v>356</v>
      </c>
      <c r="H51" s="20" t="s">
        <v>332</v>
      </c>
      <c r="I51" s="155"/>
      <c r="J51" s="155">
        <v>8014.5</v>
      </c>
      <c r="K51" s="155"/>
      <c r="L51" s="155">
        <v>1632</v>
      </c>
      <c r="M51" s="196"/>
      <c r="N51" s="156">
        <v>362.5</v>
      </c>
      <c r="O51" s="22" t="s">
        <v>422</v>
      </c>
    </row>
    <row r="52" spans="1:14" ht="33">
      <c r="A52" s="22">
        <v>3111</v>
      </c>
      <c r="B52" s="36">
        <v>37</v>
      </c>
      <c r="C52" s="36">
        <v>931</v>
      </c>
      <c r="D52" s="45">
        <v>70769</v>
      </c>
      <c r="E52" s="20" t="s">
        <v>364</v>
      </c>
      <c r="F52" s="20" t="s">
        <v>379</v>
      </c>
      <c r="G52" s="20" t="s">
        <v>356</v>
      </c>
      <c r="H52" s="20" t="s">
        <v>333</v>
      </c>
      <c r="I52" s="155"/>
      <c r="J52" s="155">
        <v>1120</v>
      </c>
      <c r="K52" s="155"/>
      <c r="L52" s="155">
        <v>21600</v>
      </c>
      <c r="M52" s="196"/>
      <c r="N52" s="156">
        <v>7000</v>
      </c>
    </row>
    <row r="53" spans="1:14" ht="33">
      <c r="A53" s="22">
        <v>3111</v>
      </c>
      <c r="B53" s="36">
        <v>37</v>
      </c>
      <c r="C53" s="36">
        <v>911</v>
      </c>
      <c r="D53" s="45">
        <v>70769</v>
      </c>
      <c r="E53" s="20" t="s">
        <v>373</v>
      </c>
      <c r="F53" s="20"/>
      <c r="G53" s="20" t="s">
        <v>356</v>
      </c>
      <c r="H53" s="20" t="s">
        <v>415</v>
      </c>
      <c r="I53" s="155"/>
      <c r="J53" s="155"/>
      <c r="K53" s="155">
        <v>1503</v>
      </c>
      <c r="L53" s="155"/>
      <c r="M53" s="196"/>
      <c r="N53" s="156"/>
    </row>
    <row r="54" spans="1:14" ht="38.25" customHeight="1">
      <c r="A54" s="22">
        <v>3111</v>
      </c>
      <c r="B54" s="36">
        <v>37</v>
      </c>
      <c r="C54" s="36">
        <v>931</v>
      </c>
      <c r="D54" s="45">
        <v>70769</v>
      </c>
      <c r="E54" s="20" t="s">
        <v>309</v>
      </c>
      <c r="F54" s="20" t="s">
        <v>380</v>
      </c>
      <c r="G54" s="20" t="s">
        <v>356</v>
      </c>
      <c r="H54" s="20" t="s">
        <v>333</v>
      </c>
      <c r="I54" s="155"/>
      <c r="J54" s="155">
        <v>1000</v>
      </c>
      <c r="K54" s="155"/>
      <c r="L54" s="155">
        <v>2000</v>
      </c>
      <c r="M54" s="196"/>
      <c r="N54" s="156">
        <v>15760</v>
      </c>
    </row>
    <row r="55" spans="2:14" ht="23.25" customHeight="1">
      <c r="B55" s="36"/>
      <c r="C55" s="36"/>
      <c r="D55" s="45"/>
      <c r="E55" s="20"/>
      <c r="F55" s="20"/>
      <c r="G55" s="20"/>
      <c r="H55" s="20"/>
      <c r="I55" s="155"/>
      <c r="J55" s="155"/>
      <c r="K55" s="155"/>
      <c r="L55" s="155"/>
      <c r="M55" s="196"/>
      <c r="N55" s="156"/>
    </row>
    <row r="56" spans="2:14" ht="37.5" customHeight="1">
      <c r="B56" s="36"/>
      <c r="C56" s="36"/>
      <c r="D56" s="36"/>
      <c r="E56" s="73" t="s">
        <v>305</v>
      </c>
      <c r="F56" s="73"/>
      <c r="G56" s="73"/>
      <c r="H56" s="73"/>
      <c r="I56" s="152">
        <f aca="true" t="shared" si="3" ref="I56:N56">SUM(I57)</f>
        <v>684.3</v>
      </c>
      <c r="J56" s="152">
        <f t="shared" si="3"/>
        <v>18719.4</v>
      </c>
      <c r="K56" s="152">
        <f t="shared" si="3"/>
        <v>789.4</v>
      </c>
      <c r="L56" s="152">
        <f t="shared" si="3"/>
        <v>21657.8</v>
      </c>
      <c r="M56" s="198">
        <f t="shared" si="3"/>
        <v>992.4</v>
      </c>
      <c r="N56" s="152">
        <f t="shared" si="3"/>
        <v>20268.8</v>
      </c>
    </row>
    <row r="57" spans="2:14" ht="18" customHeight="1">
      <c r="B57" s="36"/>
      <c r="C57" s="36"/>
      <c r="D57" s="36"/>
      <c r="E57" s="79" t="s">
        <v>313</v>
      </c>
      <c r="F57" s="79"/>
      <c r="G57" s="79"/>
      <c r="H57" s="79"/>
      <c r="I57" s="153">
        <f>SUM(I58:I68)</f>
        <v>684.3</v>
      </c>
      <c r="J57" s="153">
        <f>SUM(J58:J70)</f>
        <v>18719.4</v>
      </c>
      <c r="K57" s="153">
        <f>SUM(K58:K68)</f>
        <v>789.4</v>
      </c>
      <c r="L57" s="153">
        <f>SUM(L58:L70)</f>
        <v>21657.8</v>
      </c>
      <c r="M57" s="153">
        <f>SUM(M58:M68)</f>
        <v>992.4</v>
      </c>
      <c r="N57" s="153">
        <f>SUM(N58:N68)</f>
        <v>20268.8</v>
      </c>
    </row>
    <row r="58" spans="1:14" ht="18" customHeight="1">
      <c r="A58" s="22">
        <v>3111</v>
      </c>
      <c r="B58" s="36">
        <v>41</v>
      </c>
      <c r="C58" s="36">
        <v>911</v>
      </c>
      <c r="D58" s="45">
        <v>70499</v>
      </c>
      <c r="E58" s="20" t="s">
        <v>92</v>
      </c>
      <c r="F58" s="20"/>
      <c r="G58" s="20" t="s">
        <v>355</v>
      </c>
      <c r="H58" s="20" t="s">
        <v>415</v>
      </c>
      <c r="I58" s="155">
        <v>38.4</v>
      </c>
      <c r="J58" s="155"/>
      <c r="K58" s="155"/>
      <c r="L58" s="156"/>
      <c r="M58" s="200"/>
      <c r="N58" s="156"/>
    </row>
    <row r="59" spans="1:14" ht="18" customHeight="1">
      <c r="A59" s="22">
        <v>3111</v>
      </c>
      <c r="B59" s="36">
        <v>41</v>
      </c>
      <c r="C59" s="36">
        <v>921</v>
      </c>
      <c r="D59" s="45">
        <v>70499</v>
      </c>
      <c r="E59" s="20" t="s">
        <v>223</v>
      </c>
      <c r="F59" s="20" t="s">
        <v>381</v>
      </c>
      <c r="G59" s="20" t="s">
        <v>355</v>
      </c>
      <c r="H59" s="20" t="s">
        <v>332</v>
      </c>
      <c r="I59" s="155"/>
      <c r="J59" s="155">
        <v>1676</v>
      </c>
      <c r="K59" s="175"/>
      <c r="L59" s="155"/>
      <c r="M59" s="196"/>
      <c r="N59" s="156"/>
    </row>
    <row r="60" spans="1:14" ht="18" customHeight="1">
      <c r="A60" s="22">
        <v>3111</v>
      </c>
      <c r="B60" s="36">
        <v>41</v>
      </c>
      <c r="C60" s="36">
        <v>921</v>
      </c>
      <c r="D60" s="45">
        <v>70499</v>
      </c>
      <c r="E60" s="20" t="s">
        <v>224</v>
      </c>
      <c r="F60" s="20" t="s">
        <v>382</v>
      </c>
      <c r="G60" s="20" t="s">
        <v>355</v>
      </c>
      <c r="H60" s="20" t="s">
        <v>332</v>
      </c>
      <c r="I60" s="155"/>
      <c r="J60" s="155">
        <v>100</v>
      </c>
      <c r="K60" s="175"/>
      <c r="L60" s="155"/>
      <c r="M60" s="196"/>
      <c r="N60" s="156"/>
    </row>
    <row r="61" spans="1:14" ht="18" customHeight="1">
      <c r="A61" s="22">
        <v>3111</v>
      </c>
      <c r="B61" s="36">
        <v>41</v>
      </c>
      <c r="C61" s="36">
        <v>931</v>
      </c>
      <c r="D61" s="45">
        <v>70499</v>
      </c>
      <c r="E61" s="20" t="s">
        <v>93</v>
      </c>
      <c r="F61" s="20" t="s">
        <v>381</v>
      </c>
      <c r="G61" s="20" t="s">
        <v>355</v>
      </c>
      <c r="H61" s="20" t="s">
        <v>333</v>
      </c>
      <c r="I61" s="155"/>
      <c r="J61" s="155">
        <v>100</v>
      </c>
      <c r="K61" s="175"/>
      <c r="L61" s="155"/>
      <c r="M61" s="196"/>
      <c r="N61" s="156"/>
    </row>
    <row r="62" spans="1:14" ht="18" customHeight="1">
      <c r="A62" s="22">
        <v>3111</v>
      </c>
      <c r="B62" s="36">
        <v>41</v>
      </c>
      <c r="C62" s="36">
        <v>911</v>
      </c>
      <c r="D62" s="45">
        <v>70499</v>
      </c>
      <c r="E62" s="20" t="s">
        <v>439</v>
      </c>
      <c r="F62" s="20"/>
      <c r="G62" s="20" t="s">
        <v>355</v>
      </c>
      <c r="H62" s="20" t="s">
        <v>415</v>
      </c>
      <c r="I62" s="155">
        <v>300</v>
      </c>
      <c r="J62" s="155"/>
      <c r="K62" s="155">
        <v>400</v>
      </c>
      <c r="L62" s="155"/>
      <c r="M62" s="196">
        <v>500</v>
      </c>
      <c r="N62" s="156"/>
    </row>
    <row r="63" spans="1:14" ht="18" customHeight="1">
      <c r="A63" s="22">
        <v>3111</v>
      </c>
      <c r="B63" s="36">
        <v>41</v>
      </c>
      <c r="C63" s="36">
        <v>921</v>
      </c>
      <c r="D63" s="45">
        <v>70499</v>
      </c>
      <c r="E63" s="20" t="s">
        <v>440</v>
      </c>
      <c r="F63" s="20" t="s">
        <v>381</v>
      </c>
      <c r="G63" s="20" t="s">
        <v>355</v>
      </c>
      <c r="H63" s="20" t="s">
        <v>332</v>
      </c>
      <c r="I63" s="155"/>
      <c r="J63" s="155">
        <v>1500</v>
      </c>
      <c r="K63" s="175"/>
      <c r="L63" s="155">
        <v>2000</v>
      </c>
      <c r="M63" s="196"/>
      <c r="N63" s="156">
        <v>1795</v>
      </c>
    </row>
    <row r="64" spans="1:14" ht="16.5">
      <c r="A64" s="22">
        <v>3111</v>
      </c>
      <c r="B64" s="36">
        <v>41</v>
      </c>
      <c r="C64" s="36">
        <v>931</v>
      </c>
      <c r="D64" s="45">
        <v>70499</v>
      </c>
      <c r="E64" s="20" t="s">
        <v>441</v>
      </c>
      <c r="F64" s="20" t="s">
        <v>381</v>
      </c>
      <c r="G64" s="20" t="s">
        <v>355</v>
      </c>
      <c r="H64" s="20" t="s">
        <v>333</v>
      </c>
      <c r="I64" s="155"/>
      <c r="J64" s="155">
        <v>2000</v>
      </c>
      <c r="K64" s="175"/>
      <c r="L64" s="155">
        <v>3000</v>
      </c>
      <c r="M64" s="196"/>
      <c r="N64" s="156">
        <v>3852</v>
      </c>
    </row>
    <row r="65" spans="1:14" ht="50.25">
      <c r="A65" s="22">
        <v>3111</v>
      </c>
      <c r="B65" s="36">
        <v>41</v>
      </c>
      <c r="C65" s="36">
        <v>921</v>
      </c>
      <c r="D65" s="45">
        <v>70499</v>
      </c>
      <c r="E65" s="20" t="s">
        <v>392</v>
      </c>
      <c r="F65" s="20" t="s">
        <v>377</v>
      </c>
      <c r="G65" s="20" t="s">
        <v>355</v>
      </c>
      <c r="H65" s="20" t="s">
        <v>332</v>
      </c>
      <c r="I65" s="155"/>
      <c r="J65" s="155">
        <v>6500</v>
      </c>
      <c r="K65" s="155"/>
      <c r="L65" s="155">
        <v>10000</v>
      </c>
      <c r="M65" s="196"/>
      <c r="N65" s="155">
        <v>10500</v>
      </c>
    </row>
    <row r="66" spans="1:14" ht="33">
      <c r="A66" s="22">
        <v>3214</v>
      </c>
      <c r="B66" s="36">
        <v>41</v>
      </c>
      <c r="C66" s="36">
        <v>931</v>
      </c>
      <c r="D66" s="45">
        <v>70499</v>
      </c>
      <c r="E66" s="20" t="s">
        <v>325</v>
      </c>
      <c r="F66" s="20" t="s">
        <v>383</v>
      </c>
      <c r="G66" s="20" t="s">
        <v>355</v>
      </c>
      <c r="H66" s="20" t="s">
        <v>333</v>
      </c>
      <c r="I66" s="155"/>
      <c r="J66" s="155">
        <v>2753.6</v>
      </c>
      <c r="K66" s="155"/>
      <c r="L66" s="155">
        <v>2753.6</v>
      </c>
      <c r="M66" s="196"/>
      <c r="N66" s="156"/>
    </row>
    <row r="67" spans="1:14" ht="16.5">
      <c r="A67" s="22">
        <v>3111</v>
      </c>
      <c r="B67" s="36">
        <v>41</v>
      </c>
      <c r="C67" s="36">
        <v>911</v>
      </c>
      <c r="D67" s="45">
        <v>70499</v>
      </c>
      <c r="E67" s="20" t="s">
        <v>442</v>
      </c>
      <c r="F67" s="20"/>
      <c r="G67" s="20" t="s">
        <v>355</v>
      </c>
      <c r="H67" s="20" t="s">
        <v>415</v>
      </c>
      <c r="I67" s="155">
        <v>345.9</v>
      </c>
      <c r="J67" s="155"/>
      <c r="K67" s="155">
        <v>389.4</v>
      </c>
      <c r="L67" s="155"/>
      <c r="M67" s="196">
        <v>492.4</v>
      </c>
      <c r="N67" s="156"/>
    </row>
    <row r="68" spans="1:14" ht="16.5">
      <c r="A68" s="22">
        <v>3111</v>
      </c>
      <c r="B68" s="36">
        <v>41</v>
      </c>
      <c r="C68" s="36">
        <v>931</v>
      </c>
      <c r="D68" s="45">
        <v>70499</v>
      </c>
      <c r="E68" s="20" t="s">
        <v>323</v>
      </c>
      <c r="F68" s="20" t="s">
        <v>384</v>
      </c>
      <c r="G68" s="20" t="s">
        <v>355</v>
      </c>
      <c r="H68" s="20" t="s">
        <v>333</v>
      </c>
      <c r="I68" s="155"/>
      <c r="J68" s="155">
        <v>2674.8</v>
      </c>
      <c r="K68" s="155"/>
      <c r="L68" s="155">
        <v>2782.4</v>
      </c>
      <c r="M68" s="196"/>
      <c r="N68" s="156">
        <v>4121.8</v>
      </c>
    </row>
    <row r="69" spans="1:14" ht="33">
      <c r="A69" s="22">
        <v>3111</v>
      </c>
      <c r="B69" s="36">
        <v>41</v>
      </c>
      <c r="C69" s="36">
        <v>921</v>
      </c>
      <c r="D69" s="45">
        <v>70499</v>
      </c>
      <c r="E69" s="20" t="s">
        <v>420</v>
      </c>
      <c r="F69" s="20" t="s">
        <v>377</v>
      </c>
      <c r="G69" s="20" t="s">
        <v>355</v>
      </c>
      <c r="H69" s="20" t="s">
        <v>332</v>
      </c>
      <c r="I69" s="155"/>
      <c r="J69" s="155">
        <v>995.6</v>
      </c>
      <c r="K69" s="155"/>
      <c r="L69" s="155">
        <v>691.2</v>
      </c>
      <c r="M69" s="196"/>
      <c r="N69" s="156"/>
    </row>
    <row r="70" spans="1:14" ht="33">
      <c r="A70" s="22">
        <v>3111</v>
      </c>
      <c r="B70" s="36">
        <v>41</v>
      </c>
      <c r="C70" s="36">
        <v>931</v>
      </c>
      <c r="D70" s="45">
        <v>70499</v>
      </c>
      <c r="E70" s="20" t="s">
        <v>421</v>
      </c>
      <c r="F70" s="20" t="s">
        <v>377</v>
      </c>
      <c r="G70" s="20" t="s">
        <v>355</v>
      </c>
      <c r="H70" s="20" t="s">
        <v>333</v>
      </c>
      <c r="I70" s="155"/>
      <c r="J70" s="155">
        <v>419.4</v>
      </c>
      <c r="K70" s="155"/>
      <c r="L70" s="155">
        <v>430.6</v>
      </c>
      <c r="M70" s="196"/>
      <c r="N70" s="156"/>
    </row>
    <row r="71" spans="2:14" ht="16.5">
      <c r="B71" s="36"/>
      <c r="C71" s="36"/>
      <c r="D71" s="45"/>
      <c r="E71" s="20"/>
      <c r="F71" s="20"/>
      <c r="G71" s="20"/>
      <c r="H71" s="20"/>
      <c r="I71" s="155"/>
      <c r="J71" s="155"/>
      <c r="K71" s="155"/>
      <c r="L71" s="155"/>
      <c r="M71" s="196"/>
      <c r="N71" s="156"/>
    </row>
    <row r="72" spans="2:14" ht="15.75" customHeight="1">
      <c r="B72" s="36"/>
      <c r="C72" s="36"/>
      <c r="D72" s="36"/>
      <c r="E72" s="78" t="s">
        <v>306</v>
      </c>
      <c r="F72" s="78"/>
      <c r="G72" s="78"/>
      <c r="H72" s="78"/>
      <c r="I72" s="152">
        <f aca="true" t="shared" si="4" ref="I72:N72">I73</f>
        <v>10186.5</v>
      </c>
      <c r="J72" s="152">
        <f>J73</f>
        <v>162021.49999999997</v>
      </c>
      <c r="K72" s="152">
        <f t="shared" si="4"/>
        <v>12963.9</v>
      </c>
      <c r="L72" s="152">
        <f>L73</f>
        <v>104165.90000000001</v>
      </c>
      <c r="M72" s="198">
        <f t="shared" si="4"/>
        <v>3836.6</v>
      </c>
      <c r="N72" s="152">
        <f t="shared" si="4"/>
        <v>50311.26</v>
      </c>
    </row>
    <row r="73" spans="2:14" ht="15.75" customHeight="1">
      <c r="B73" s="36"/>
      <c r="C73" s="36"/>
      <c r="D73" s="36"/>
      <c r="E73" s="79" t="s">
        <v>313</v>
      </c>
      <c r="F73" s="79"/>
      <c r="G73" s="79"/>
      <c r="H73" s="79"/>
      <c r="I73" s="153">
        <f aca="true" t="shared" si="5" ref="I73:N73">SUM(I74:I102)</f>
        <v>10186.5</v>
      </c>
      <c r="J73" s="153">
        <f t="shared" si="5"/>
        <v>162021.49999999997</v>
      </c>
      <c r="K73" s="153">
        <f t="shared" si="5"/>
        <v>12963.9</v>
      </c>
      <c r="L73" s="153">
        <f t="shared" si="5"/>
        <v>104165.90000000001</v>
      </c>
      <c r="M73" s="153">
        <f t="shared" si="5"/>
        <v>3836.6</v>
      </c>
      <c r="N73" s="153">
        <f t="shared" si="5"/>
        <v>50311.26</v>
      </c>
    </row>
    <row r="74" spans="1:14" ht="15.75" customHeight="1">
      <c r="A74" s="22">
        <v>3111</v>
      </c>
      <c r="B74" s="36">
        <v>43</v>
      </c>
      <c r="C74" s="36">
        <v>910</v>
      </c>
      <c r="D74" s="45">
        <v>70499</v>
      </c>
      <c r="E74" s="19" t="s">
        <v>110</v>
      </c>
      <c r="F74" s="19"/>
      <c r="G74" s="19" t="s">
        <v>354</v>
      </c>
      <c r="H74" s="19" t="s">
        <v>415</v>
      </c>
      <c r="I74" s="155">
        <v>110</v>
      </c>
      <c r="J74" s="155"/>
      <c r="K74" s="155"/>
      <c r="L74" s="156"/>
      <c r="M74" s="200"/>
      <c r="N74" s="156"/>
    </row>
    <row r="75" spans="1:14" ht="15.75" customHeight="1">
      <c r="A75" s="22">
        <v>3111</v>
      </c>
      <c r="B75" s="36">
        <v>43</v>
      </c>
      <c r="C75" s="36">
        <v>930</v>
      </c>
      <c r="D75" s="45">
        <v>70499</v>
      </c>
      <c r="E75" s="19" t="s">
        <v>111</v>
      </c>
      <c r="F75" s="19" t="s">
        <v>384</v>
      </c>
      <c r="G75" s="19" t="s">
        <v>354</v>
      </c>
      <c r="H75" s="19" t="s">
        <v>333</v>
      </c>
      <c r="I75" s="155"/>
      <c r="J75" s="155">
        <v>500</v>
      </c>
      <c r="K75" s="155"/>
      <c r="L75" s="155"/>
      <c r="M75" s="196"/>
      <c r="N75" s="155"/>
    </row>
    <row r="76" spans="1:14" ht="15.75" customHeight="1">
      <c r="A76" s="22">
        <v>3111</v>
      </c>
      <c r="B76" s="36">
        <v>43</v>
      </c>
      <c r="C76" s="36">
        <v>930</v>
      </c>
      <c r="D76" s="45">
        <v>70499</v>
      </c>
      <c r="E76" s="19" t="s">
        <v>112</v>
      </c>
      <c r="F76" s="19" t="s">
        <v>379</v>
      </c>
      <c r="G76" s="19" t="s">
        <v>354</v>
      </c>
      <c r="H76" s="19" t="s">
        <v>333</v>
      </c>
      <c r="I76" s="155"/>
      <c r="J76" s="155">
        <v>460</v>
      </c>
      <c r="K76" s="155"/>
      <c r="L76" s="155"/>
      <c r="M76" s="196"/>
      <c r="N76" s="155"/>
    </row>
    <row r="77" spans="1:14" ht="16.5">
      <c r="A77" s="22">
        <v>3111</v>
      </c>
      <c r="B77" s="36">
        <v>43</v>
      </c>
      <c r="C77" s="36">
        <v>910</v>
      </c>
      <c r="D77" s="45">
        <v>70499</v>
      </c>
      <c r="E77" s="20" t="s">
        <v>162</v>
      </c>
      <c r="F77" s="20"/>
      <c r="G77" s="19" t="s">
        <v>354</v>
      </c>
      <c r="H77" s="20" t="s">
        <v>415</v>
      </c>
      <c r="I77" s="155">
        <v>1500</v>
      </c>
      <c r="J77" s="175"/>
      <c r="K77" s="155">
        <v>450</v>
      </c>
      <c r="L77" s="175"/>
      <c r="M77" s="21"/>
      <c r="N77" s="21"/>
    </row>
    <row r="78" spans="1:15" ht="33">
      <c r="A78" s="22">
        <v>3111</v>
      </c>
      <c r="B78" s="36">
        <v>43</v>
      </c>
      <c r="C78" s="36">
        <v>930</v>
      </c>
      <c r="D78" s="45">
        <v>70499</v>
      </c>
      <c r="E78" s="20" t="s">
        <v>163</v>
      </c>
      <c r="F78" s="20" t="s">
        <v>384</v>
      </c>
      <c r="G78" s="19" t="s">
        <v>354</v>
      </c>
      <c r="H78" s="20" t="s">
        <v>333</v>
      </c>
      <c r="I78" s="155"/>
      <c r="J78" s="155">
        <v>8000</v>
      </c>
      <c r="K78" s="155"/>
      <c r="L78" s="156">
        <v>3000</v>
      </c>
      <c r="M78" s="200"/>
      <c r="N78" s="156"/>
      <c r="O78" s="22">
        <v>-2000</v>
      </c>
    </row>
    <row r="79" spans="1:17" ht="33">
      <c r="A79" s="22">
        <v>3111</v>
      </c>
      <c r="B79" s="36">
        <v>43</v>
      </c>
      <c r="C79" s="36">
        <v>910</v>
      </c>
      <c r="D79" s="45">
        <v>70499</v>
      </c>
      <c r="E79" s="20" t="s">
        <v>329</v>
      </c>
      <c r="F79" s="20"/>
      <c r="G79" s="19" t="s">
        <v>354</v>
      </c>
      <c r="H79" s="20" t="s">
        <v>415</v>
      </c>
      <c r="I79" s="155">
        <v>900</v>
      </c>
      <c r="J79" s="155"/>
      <c r="K79" s="155">
        <v>900</v>
      </c>
      <c r="L79" s="156"/>
      <c r="M79" s="200">
        <v>400</v>
      </c>
      <c r="N79" s="155"/>
      <c r="Q79" s="205"/>
    </row>
    <row r="80" spans="1:15" ht="33">
      <c r="A80" s="22">
        <v>3111</v>
      </c>
      <c r="B80" s="36">
        <v>43</v>
      </c>
      <c r="C80" s="36">
        <v>930</v>
      </c>
      <c r="D80" s="45">
        <v>70499</v>
      </c>
      <c r="E80" s="20" t="s">
        <v>330</v>
      </c>
      <c r="F80" s="20" t="s">
        <v>384</v>
      </c>
      <c r="G80" s="19" t="s">
        <v>354</v>
      </c>
      <c r="H80" s="20" t="s">
        <v>333</v>
      </c>
      <c r="I80" s="155"/>
      <c r="J80" s="155">
        <v>2000</v>
      </c>
      <c r="K80" s="155"/>
      <c r="L80" s="155">
        <v>3500</v>
      </c>
      <c r="M80" s="196"/>
      <c r="N80" s="155">
        <v>3500</v>
      </c>
      <c r="O80" s="22">
        <v>-1000</v>
      </c>
    </row>
    <row r="81" spans="1:15" ht="33">
      <c r="A81" s="22">
        <v>3111</v>
      </c>
      <c r="B81" s="36">
        <v>43</v>
      </c>
      <c r="C81" s="36">
        <v>930</v>
      </c>
      <c r="D81" s="45">
        <v>70499</v>
      </c>
      <c r="E81" s="20" t="s">
        <v>331</v>
      </c>
      <c r="F81" s="20" t="s">
        <v>379</v>
      </c>
      <c r="G81" s="19" t="s">
        <v>354</v>
      </c>
      <c r="H81" s="20" t="s">
        <v>333</v>
      </c>
      <c r="I81" s="155"/>
      <c r="J81" s="155">
        <v>4500</v>
      </c>
      <c r="K81" s="155"/>
      <c r="L81" s="155">
        <v>6000</v>
      </c>
      <c r="M81" s="196"/>
      <c r="N81" s="155">
        <v>5500</v>
      </c>
      <c r="O81" s="22">
        <v>-1000</v>
      </c>
    </row>
    <row r="82" spans="1:14" ht="33">
      <c r="A82" s="22">
        <v>3111</v>
      </c>
      <c r="B82" s="40">
        <v>43</v>
      </c>
      <c r="C82" s="40">
        <v>910</v>
      </c>
      <c r="D82" s="45">
        <v>70499</v>
      </c>
      <c r="E82" s="19" t="s">
        <v>109</v>
      </c>
      <c r="F82" s="19"/>
      <c r="G82" s="19" t="s">
        <v>354</v>
      </c>
      <c r="H82" s="19" t="s">
        <v>415</v>
      </c>
      <c r="I82" s="155">
        <v>40</v>
      </c>
      <c r="J82" s="155"/>
      <c r="K82" s="155"/>
      <c r="L82" s="156"/>
      <c r="M82" s="200"/>
      <c r="N82" s="156"/>
    </row>
    <row r="83" spans="1:14" ht="16.5">
      <c r="A83" s="22">
        <v>3111</v>
      </c>
      <c r="B83" s="40">
        <v>43</v>
      </c>
      <c r="C83" s="40">
        <v>930</v>
      </c>
      <c r="D83" s="45">
        <v>70499</v>
      </c>
      <c r="E83" s="19" t="s">
        <v>45</v>
      </c>
      <c r="F83" s="19" t="s">
        <v>379</v>
      </c>
      <c r="G83" s="19" t="s">
        <v>354</v>
      </c>
      <c r="H83" s="19" t="s">
        <v>333</v>
      </c>
      <c r="I83" s="155"/>
      <c r="J83" s="155">
        <v>300</v>
      </c>
      <c r="K83" s="157"/>
      <c r="L83" s="155"/>
      <c r="M83" s="196"/>
      <c r="N83" s="155"/>
    </row>
    <row r="84" spans="1:14" ht="16.5">
      <c r="A84" s="22">
        <v>3111</v>
      </c>
      <c r="B84" s="40">
        <v>43</v>
      </c>
      <c r="C84" s="40">
        <v>930</v>
      </c>
      <c r="D84" s="45">
        <v>70499</v>
      </c>
      <c r="E84" s="19" t="s">
        <v>114</v>
      </c>
      <c r="F84" s="19" t="s">
        <v>380</v>
      </c>
      <c r="G84" s="19" t="s">
        <v>354</v>
      </c>
      <c r="H84" s="19" t="s">
        <v>333</v>
      </c>
      <c r="I84" s="155"/>
      <c r="J84" s="155">
        <v>70</v>
      </c>
      <c r="K84" s="157"/>
      <c r="L84" s="155"/>
      <c r="M84" s="196"/>
      <c r="N84" s="155"/>
    </row>
    <row r="85" spans="1:14" ht="16.5">
      <c r="A85" s="22">
        <v>3111</v>
      </c>
      <c r="B85" s="40">
        <v>43</v>
      </c>
      <c r="C85" s="40">
        <v>930</v>
      </c>
      <c r="D85" s="45">
        <v>70499</v>
      </c>
      <c r="E85" s="19" t="s">
        <v>47</v>
      </c>
      <c r="F85" s="19" t="s">
        <v>385</v>
      </c>
      <c r="G85" s="19" t="s">
        <v>354</v>
      </c>
      <c r="H85" s="19" t="s">
        <v>333</v>
      </c>
      <c r="I85" s="155"/>
      <c r="J85" s="155">
        <v>42.7</v>
      </c>
      <c r="K85" s="157"/>
      <c r="L85" s="155"/>
      <c r="M85" s="196"/>
      <c r="N85" s="155"/>
    </row>
    <row r="86" spans="1:14" ht="16.5">
      <c r="A86" s="22">
        <v>3111</v>
      </c>
      <c r="B86" s="40">
        <v>43</v>
      </c>
      <c r="C86" s="40">
        <v>930</v>
      </c>
      <c r="D86" s="45">
        <v>70499</v>
      </c>
      <c r="E86" s="19" t="s">
        <v>46</v>
      </c>
      <c r="F86" s="19" t="s">
        <v>386</v>
      </c>
      <c r="G86" s="19" t="s">
        <v>354</v>
      </c>
      <c r="H86" s="19" t="s">
        <v>333</v>
      </c>
      <c r="I86" s="155"/>
      <c r="J86" s="155">
        <v>80.5</v>
      </c>
      <c r="K86" s="157"/>
      <c r="L86" s="155"/>
      <c r="M86" s="196"/>
      <c r="N86" s="155"/>
    </row>
    <row r="87" spans="1:15" ht="33">
      <c r="A87" s="22">
        <v>3111</v>
      </c>
      <c r="B87" s="40">
        <v>43</v>
      </c>
      <c r="C87" s="40">
        <v>910</v>
      </c>
      <c r="D87" s="45">
        <v>70499</v>
      </c>
      <c r="E87" s="19" t="s">
        <v>118</v>
      </c>
      <c r="F87" s="19"/>
      <c r="G87" s="19" t="s">
        <v>354</v>
      </c>
      <c r="H87" s="19" t="s">
        <v>415</v>
      </c>
      <c r="I87" s="155">
        <v>3900</v>
      </c>
      <c r="J87" s="155"/>
      <c r="K87" s="155">
        <v>3953</v>
      </c>
      <c r="L87" s="156"/>
      <c r="M87" s="200">
        <v>361</v>
      </c>
      <c r="N87" s="156"/>
      <c r="O87" s="22">
        <v>-533.3</v>
      </c>
    </row>
    <row r="88" spans="1:15" ht="33">
      <c r="A88" s="22">
        <v>3111</v>
      </c>
      <c r="B88" s="40">
        <v>43</v>
      </c>
      <c r="C88" s="40">
        <v>920</v>
      </c>
      <c r="D88" s="45">
        <v>70499</v>
      </c>
      <c r="E88" s="19" t="s">
        <v>119</v>
      </c>
      <c r="F88" s="19" t="s">
        <v>376</v>
      </c>
      <c r="G88" s="19" t="s">
        <v>354</v>
      </c>
      <c r="H88" s="19" t="s">
        <v>332</v>
      </c>
      <c r="I88" s="155"/>
      <c r="J88" s="155">
        <v>5500</v>
      </c>
      <c r="K88" s="155"/>
      <c r="L88" s="155">
        <v>4777.9</v>
      </c>
      <c r="M88" s="200"/>
      <c r="N88" s="155">
        <v>449.4</v>
      </c>
      <c r="O88" s="22">
        <v>-649</v>
      </c>
    </row>
    <row r="89" spans="1:15" ht="33">
      <c r="A89" s="22">
        <v>3111</v>
      </c>
      <c r="B89" s="40">
        <v>43</v>
      </c>
      <c r="C89" s="40">
        <v>930</v>
      </c>
      <c r="D89" s="45">
        <v>70499</v>
      </c>
      <c r="E89" s="19" t="s">
        <v>120</v>
      </c>
      <c r="F89" s="19" t="s">
        <v>376</v>
      </c>
      <c r="G89" s="19" t="s">
        <v>354</v>
      </c>
      <c r="H89" s="19" t="s">
        <v>333</v>
      </c>
      <c r="I89" s="155"/>
      <c r="J89" s="155">
        <v>12000</v>
      </c>
      <c r="K89" s="155"/>
      <c r="L89" s="155">
        <v>12549.6</v>
      </c>
      <c r="M89" s="200"/>
      <c r="N89" s="155">
        <v>1200</v>
      </c>
      <c r="O89" s="22">
        <v>-1800</v>
      </c>
    </row>
    <row r="90" spans="1:15" ht="33">
      <c r="A90" s="22">
        <v>3111</v>
      </c>
      <c r="B90" s="40">
        <v>43</v>
      </c>
      <c r="C90" s="40">
        <v>910</v>
      </c>
      <c r="D90" s="45">
        <v>70499</v>
      </c>
      <c r="E90" s="19" t="s">
        <v>429</v>
      </c>
      <c r="F90" s="19"/>
      <c r="G90" s="19" t="s">
        <v>354</v>
      </c>
      <c r="H90" s="19" t="s">
        <v>415</v>
      </c>
      <c r="I90" s="155">
        <v>2000</v>
      </c>
      <c r="J90" s="155"/>
      <c r="K90" s="155">
        <v>3110.4</v>
      </c>
      <c r="L90" s="156"/>
      <c r="M90" s="200">
        <v>1115.1</v>
      </c>
      <c r="N90" s="155"/>
      <c r="O90" s="22">
        <v>-429</v>
      </c>
    </row>
    <row r="91" spans="1:15" ht="33">
      <c r="A91" s="22">
        <v>3111</v>
      </c>
      <c r="B91" s="40">
        <v>43</v>
      </c>
      <c r="C91" s="40">
        <v>930</v>
      </c>
      <c r="D91" s="45">
        <v>70499</v>
      </c>
      <c r="E91" s="19" t="s">
        <v>430</v>
      </c>
      <c r="F91" s="19" t="s">
        <v>383</v>
      </c>
      <c r="G91" s="19" t="s">
        <v>354</v>
      </c>
      <c r="H91" s="19" t="s">
        <v>333</v>
      </c>
      <c r="I91" s="155"/>
      <c r="J91" s="155">
        <v>9500</v>
      </c>
      <c r="K91" s="155"/>
      <c r="L91" s="155">
        <v>17630.2</v>
      </c>
      <c r="M91" s="200"/>
      <c r="N91" s="155">
        <v>9335.5</v>
      </c>
      <c r="O91" s="22">
        <f>-2440.2</f>
        <v>-2440.2</v>
      </c>
    </row>
    <row r="92" spans="1:14" ht="33">
      <c r="A92" s="22">
        <v>3111</v>
      </c>
      <c r="B92" s="40">
        <v>43</v>
      </c>
      <c r="C92" s="40">
        <v>910</v>
      </c>
      <c r="D92" s="45">
        <v>70499</v>
      </c>
      <c r="E92" s="19" t="s">
        <v>123</v>
      </c>
      <c r="F92" s="19" t="s">
        <v>377</v>
      </c>
      <c r="G92" s="19" t="s">
        <v>354</v>
      </c>
      <c r="H92" s="19" t="s">
        <v>415</v>
      </c>
      <c r="I92" s="155">
        <v>150</v>
      </c>
      <c r="J92" s="155"/>
      <c r="K92" s="155"/>
      <c r="L92" s="200"/>
      <c r="M92" s="155"/>
      <c r="N92" s="155"/>
    </row>
    <row r="93" spans="1:14" ht="33">
      <c r="A93" s="22">
        <v>3111</v>
      </c>
      <c r="B93" s="40">
        <v>43</v>
      </c>
      <c r="C93" s="40">
        <v>920</v>
      </c>
      <c r="D93" s="45">
        <v>70499</v>
      </c>
      <c r="E93" s="19" t="s">
        <v>124</v>
      </c>
      <c r="F93" s="19" t="s">
        <v>377</v>
      </c>
      <c r="G93" s="19" t="s">
        <v>354</v>
      </c>
      <c r="H93" s="19" t="s">
        <v>332</v>
      </c>
      <c r="I93" s="155"/>
      <c r="J93" s="155">
        <v>345.7</v>
      </c>
      <c r="K93" s="155"/>
      <c r="L93" s="155"/>
      <c r="M93" s="21"/>
      <c r="N93" s="21"/>
    </row>
    <row r="94" spans="1:14" ht="33">
      <c r="A94" s="22">
        <v>3111</v>
      </c>
      <c r="B94" s="40">
        <v>43</v>
      </c>
      <c r="C94" s="40">
        <v>930</v>
      </c>
      <c r="D94" s="45">
        <v>70499</v>
      </c>
      <c r="E94" s="19" t="s">
        <v>125</v>
      </c>
      <c r="F94" s="19" t="s">
        <v>377</v>
      </c>
      <c r="G94" s="19" t="s">
        <v>354</v>
      </c>
      <c r="H94" s="19" t="s">
        <v>333</v>
      </c>
      <c r="I94" s="155"/>
      <c r="J94" s="155">
        <v>3500</v>
      </c>
      <c r="K94" s="155"/>
      <c r="L94" s="155"/>
      <c r="M94" s="200"/>
      <c r="N94" s="155"/>
    </row>
    <row r="95" spans="1:14" ht="16.5">
      <c r="A95" s="22">
        <v>3111</v>
      </c>
      <c r="B95" s="40">
        <v>43</v>
      </c>
      <c r="C95" s="40">
        <v>930</v>
      </c>
      <c r="D95" s="40">
        <v>70499</v>
      </c>
      <c r="E95" s="19" t="s">
        <v>97</v>
      </c>
      <c r="F95" s="19" t="s">
        <v>387</v>
      </c>
      <c r="G95" s="19" t="s">
        <v>354</v>
      </c>
      <c r="H95" s="19" t="s">
        <v>333</v>
      </c>
      <c r="I95" s="155"/>
      <c r="J95" s="155">
        <v>39998.9</v>
      </c>
      <c r="K95" s="155"/>
      <c r="L95" s="155"/>
      <c r="M95" s="200"/>
      <c r="N95" s="155"/>
    </row>
    <row r="96" spans="1:14" ht="16.5">
      <c r="A96" s="22">
        <v>3111</v>
      </c>
      <c r="B96" s="40">
        <v>43</v>
      </c>
      <c r="C96" s="40">
        <v>930</v>
      </c>
      <c r="D96" s="40">
        <v>70499</v>
      </c>
      <c r="E96" s="19" t="s">
        <v>302</v>
      </c>
      <c r="F96" s="19" t="s">
        <v>387</v>
      </c>
      <c r="G96" s="19" t="s">
        <v>354</v>
      </c>
      <c r="H96" s="19" t="s">
        <v>333</v>
      </c>
      <c r="I96" s="155"/>
      <c r="J96" s="155">
        <v>59759.4</v>
      </c>
      <c r="K96" s="155"/>
      <c r="L96" s="155">
        <v>14939.9</v>
      </c>
      <c r="M96" s="200"/>
      <c r="N96" s="155"/>
    </row>
    <row r="97" spans="1:14" ht="33">
      <c r="A97" s="22">
        <v>3111</v>
      </c>
      <c r="B97" s="40">
        <v>43</v>
      </c>
      <c r="C97" s="40">
        <v>910</v>
      </c>
      <c r="D97" s="40">
        <v>70499</v>
      </c>
      <c r="E97" s="19" t="s">
        <v>159</v>
      </c>
      <c r="F97" s="19"/>
      <c r="G97" s="19" t="s">
        <v>354</v>
      </c>
      <c r="H97" s="19" t="s">
        <v>415</v>
      </c>
      <c r="I97" s="155">
        <v>1185</v>
      </c>
      <c r="J97" s="155"/>
      <c r="K97" s="155">
        <v>3700</v>
      </c>
      <c r="L97" s="155"/>
      <c r="M97" s="200">
        <v>820.5</v>
      </c>
      <c r="N97" s="155"/>
    </row>
    <row r="98" spans="1:14" ht="33">
      <c r="A98" s="22">
        <v>3111</v>
      </c>
      <c r="B98" s="40">
        <v>43</v>
      </c>
      <c r="C98" s="40">
        <v>920</v>
      </c>
      <c r="D98" s="40">
        <v>70499</v>
      </c>
      <c r="E98" s="19" t="s">
        <v>157</v>
      </c>
      <c r="F98" s="19" t="s">
        <v>376</v>
      </c>
      <c r="G98" s="19" t="s">
        <v>354</v>
      </c>
      <c r="H98" s="19" t="s">
        <v>332</v>
      </c>
      <c r="I98" s="155"/>
      <c r="J98" s="155">
        <v>2667.2</v>
      </c>
      <c r="K98" s="155"/>
      <c r="L98" s="155">
        <v>5700</v>
      </c>
      <c r="M98" s="200"/>
      <c r="N98" s="155">
        <v>1600</v>
      </c>
    </row>
    <row r="99" spans="1:14" ht="33">
      <c r="A99" s="22">
        <v>3111</v>
      </c>
      <c r="B99" s="40">
        <v>43</v>
      </c>
      <c r="C99" s="40">
        <v>930</v>
      </c>
      <c r="D99" s="40">
        <v>70499</v>
      </c>
      <c r="E99" s="19" t="s">
        <v>158</v>
      </c>
      <c r="F99" s="19" t="s">
        <v>376</v>
      </c>
      <c r="G99" s="19" t="s">
        <v>354</v>
      </c>
      <c r="H99" s="19" t="s">
        <v>333</v>
      </c>
      <c r="I99" s="155"/>
      <c r="J99" s="155">
        <v>3480</v>
      </c>
      <c r="K99" s="155"/>
      <c r="L99" s="155">
        <v>11600</v>
      </c>
      <c r="M99" s="200"/>
      <c r="N99" s="155">
        <v>2363.6</v>
      </c>
    </row>
    <row r="100" spans="1:14" ht="16.5">
      <c r="A100" s="22">
        <v>3111</v>
      </c>
      <c r="B100" s="40">
        <v>43</v>
      </c>
      <c r="C100" s="40">
        <v>910</v>
      </c>
      <c r="D100" s="40">
        <v>70499</v>
      </c>
      <c r="E100" s="19" t="s">
        <v>311</v>
      </c>
      <c r="F100" s="19" t="s">
        <v>388</v>
      </c>
      <c r="G100" s="19" t="s">
        <v>354</v>
      </c>
      <c r="H100" s="19" t="s">
        <v>415</v>
      </c>
      <c r="I100" s="155">
        <v>401.5</v>
      </c>
      <c r="J100" s="155"/>
      <c r="K100" s="155">
        <v>850.5</v>
      </c>
      <c r="L100" s="156"/>
      <c r="M100" s="200">
        <v>1140</v>
      </c>
      <c r="N100" s="156"/>
    </row>
    <row r="101" spans="1:14" ht="17.25" customHeight="1">
      <c r="A101" s="22">
        <v>3111</v>
      </c>
      <c r="B101" s="40">
        <v>43</v>
      </c>
      <c r="C101" s="40">
        <v>930</v>
      </c>
      <c r="D101" s="40">
        <v>70499</v>
      </c>
      <c r="E101" s="19" t="s">
        <v>310</v>
      </c>
      <c r="F101" s="19" t="s">
        <v>388</v>
      </c>
      <c r="G101" s="19" t="s">
        <v>354</v>
      </c>
      <c r="H101" s="19" t="s">
        <v>333</v>
      </c>
      <c r="I101" s="155"/>
      <c r="J101" s="155">
        <v>3116.3</v>
      </c>
      <c r="K101" s="155"/>
      <c r="L101" s="155">
        <v>14801.5</v>
      </c>
      <c r="M101" s="200"/>
      <c r="N101" s="155">
        <v>17326.3</v>
      </c>
    </row>
    <row r="102" spans="1:14" ht="33">
      <c r="A102" s="22">
        <v>3111</v>
      </c>
      <c r="B102" s="40">
        <v>43</v>
      </c>
      <c r="C102" s="40">
        <v>920</v>
      </c>
      <c r="D102" s="40">
        <v>70499</v>
      </c>
      <c r="E102" s="19" t="s">
        <v>328</v>
      </c>
      <c r="F102" s="19" t="s">
        <v>388</v>
      </c>
      <c r="G102" s="19" t="s">
        <v>354</v>
      </c>
      <c r="H102" s="19" t="s">
        <v>332</v>
      </c>
      <c r="I102" s="155"/>
      <c r="J102" s="155">
        <v>6200.8</v>
      </c>
      <c r="K102" s="155"/>
      <c r="L102" s="155">
        <v>9666.8</v>
      </c>
      <c r="M102" s="200"/>
      <c r="N102" s="155">
        <v>9036.46</v>
      </c>
    </row>
    <row r="103" spans="2:14" ht="18" customHeight="1">
      <c r="B103" s="36"/>
      <c r="C103" s="36"/>
      <c r="D103" s="36"/>
      <c r="E103" s="20"/>
      <c r="F103" s="20"/>
      <c r="G103" s="20"/>
      <c r="H103" s="20"/>
      <c r="I103" s="155"/>
      <c r="J103" s="155"/>
      <c r="K103" s="157"/>
      <c r="L103" s="155"/>
      <c r="M103" s="196"/>
      <c r="N103" s="156"/>
    </row>
    <row r="104" spans="2:14" ht="18" customHeight="1">
      <c r="B104" s="36"/>
      <c r="C104" s="36"/>
      <c r="D104" s="36"/>
      <c r="E104" s="78" t="s">
        <v>12</v>
      </c>
      <c r="F104" s="78"/>
      <c r="G104" s="78"/>
      <c r="H104" s="78"/>
      <c r="I104" s="152"/>
      <c r="J104" s="152">
        <f>J105</f>
        <v>3811.6</v>
      </c>
      <c r="K104" s="152"/>
      <c r="L104" s="152">
        <f>L105</f>
        <v>7726.4</v>
      </c>
      <c r="M104" s="198"/>
      <c r="N104" s="152">
        <f>N105</f>
        <v>5482.4</v>
      </c>
    </row>
    <row r="105" spans="2:14" ht="18" customHeight="1">
      <c r="B105" s="36"/>
      <c r="C105" s="36"/>
      <c r="D105" s="36"/>
      <c r="E105" s="79" t="s">
        <v>313</v>
      </c>
      <c r="F105" s="79"/>
      <c r="G105" s="79"/>
      <c r="H105" s="79"/>
      <c r="I105" s="153"/>
      <c r="J105" s="153">
        <f>SUM(J106:J109)</f>
        <v>3811.6</v>
      </c>
      <c r="K105" s="153"/>
      <c r="L105" s="153">
        <f>SUM(L106:L109)</f>
        <v>7726.4</v>
      </c>
      <c r="M105" s="199"/>
      <c r="N105" s="153">
        <f>SUM(N106:N109)</f>
        <v>5482.4</v>
      </c>
    </row>
    <row r="106" spans="1:14" ht="33">
      <c r="A106" s="22">
        <v>3111</v>
      </c>
      <c r="B106" s="40">
        <v>45</v>
      </c>
      <c r="C106" s="40">
        <v>920</v>
      </c>
      <c r="D106" s="40">
        <v>70259</v>
      </c>
      <c r="E106" s="19" t="s">
        <v>362</v>
      </c>
      <c r="F106" s="19" t="s">
        <v>377</v>
      </c>
      <c r="G106" s="19" t="s">
        <v>357</v>
      </c>
      <c r="H106" s="19" t="s">
        <v>332</v>
      </c>
      <c r="I106" s="155"/>
      <c r="J106" s="155">
        <v>271.2</v>
      </c>
      <c r="K106" s="157"/>
      <c r="L106" s="155">
        <v>2202.2</v>
      </c>
      <c r="M106" s="196"/>
      <c r="N106" s="156">
        <v>26.6</v>
      </c>
    </row>
    <row r="107" spans="1:14" ht="33">
      <c r="A107" s="22">
        <v>3111</v>
      </c>
      <c r="B107" s="40">
        <v>45</v>
      </c>
      <c r="C107" s="40">
        <v>930</v>
      </c>
      <c r="D107" s="40">
        <v>70259</v>
      </c>
      <c r="E107" s="19" t="s">
        <v>363</v>
      </c>
      <c r="F107" s="19" t="s">
        <v>377</v>
      </c>
      <c r="G107" s="19" t="s">
        <v>357</v>
      </c>
      <c r="H107" s="19" t="s">
        <v>333</v>
      </c>
      <c r="I107" s="155"/>
      <c r="J107" s="155">
        <v>271.2</v>
      </c>
      <c r="K107" s="157"/>
      <c r="L107" s="155">
        <v>2202.2</v>
      </c>
      <c r="M107" s="196"/>
      <c r="N107" s="156">
        <v>26.6</v>
      </c>
    </row>
    <row r="108" spans="1:14" ht="33">
      <c r="A108" s="22">
        <v>3111</v>
      </c>
      <c r="B108" s="40">
        <v>45</v>
      </c>
      <c r="C108" s="40">
        <v>920</v>
      </c>
      <c r="D108" s="40">
        <v>70259</v>
      </c>
      <c r="E108" s="19" t="s">
        <v>427</v>
      </c>
      <c r="F108" s="19" t="s">
        <v>377</v>
      </c>
      <c r="G108" s="19" t="s">
        <v>357</v>
      </c>
      <c r="H108" s="19" t="s">
        <v>332</v>
      </c>
      <c r="I108" s="155"/>
      <c r="J108" s="155">
        <v>1634.6</v>
      </c>
      <c r="K108" s="157"/>
      <c r="L108" s="155">
        <v>1661</v>
      </c>
      <c r="M108" s="196"/>
      <c r="N108" s="156">
        <v>2714.6</v>
      </c>
    </row>
    <row r="109" spans="1:14" ht="33">
      <c r="A109" s="22">
        <v>3111</v>
      </c>
      <c r="B109" s="40">
        <v>45</v>
      </c>
      <c r="C109" s="40">
        <v>930</v>
      </c>
      <c r="D109" s="40">
        <v>70259</v>
      </c>
      <c r="E109" s="19" t="s">
        <v>428</v>
      </c>
      <c r="F109" s="19" t="s">
        <v>377</v>
      </c>
      <c r="G109" s="19" t="s">
        <v>357</v>
      </c>
      <c r="H109" s="19" t="s">
        <v>333</v>
      </c>
      <c r="I109" s="155"/>
      <c r="J109" s="155">
        <v>1634.6</v>
      </c>
      <c r="K109" s="155"/>
      <c r="L109" s="155">
        <v>1661</v>
      </c>
      <c r="M109" s="196"/>
      <c r="N109" s="156">
        <v>2714.6</v>
      </c>
    </row>
    <row r="110" spans="2:14" ht="18" customHeight="1">
      <c r="B110" s="40"/>
      <c r="C110" s="40"/>
      <c r="D110" s="40"/>
      <c r="E110" s="19"/>
      <c r="F110" s="19"/>
      <c r="G110" s="19"/>
      <c r="H110" s="19"/>
      <c r="I110" s="155"/>
      <c r="J110" s="155"/>
      <c r="K110" s="155"/>
      <c r="L110" s="155"/>
      <c r="M110" s="196"/>
      <c r="N110" s="156"/>
    </row>
    <row r="111" spans="2:14" ht="31.5" customHeight="1">
      <c r="B111" s="40"/>
      <c r="C111" s="40"/>
      <c r="D111" s="45"/>
      <c r="E111" s="73" t="s">
        <v>307</v>
      </c>
      <c r="F111" s="73"/>
      <c r="G111" s="73"/>
      <c r="H111" s="73"/>
      <c r="I111" s="152">
        <f aca="true" t="shared" si="6" ref="I111:N111">I112</f>
        <v>150</v>
      </c>
      <c r="J111" s="152">
        <f t="shared" si="6"/>
        <v>133381.8</v>
      </c>
      <c r="K111" s="152">
        <f t="shared" si="6"/>
        <v>260</v>
      </c>
      <c r="L111" s="152">
        <f t="shared" si="6"/>
        <v>161272.7</v>
      </c>
      <c r="M111" s="152">
        <f t="shared" si="6"/>
        <v>440</v>
      </c>
      <c r="N111" s="152">
        <f t="shared" si="6"/>
        <v>93742.90000000002</v>
      </c>
    </row>
    <row r="112" spans="2:14" ht="18" customHeight="1">
      <c r="B112" s="40"/>
      <c r="C112" s="40"/>
      <c r="D112" s="45"/>
      <c r="E112" s="79" t="s">
        <v>313</v>
      </c>
      <c r="F112" s="79"/>
      <c r="G112" s="79"/>
      <c r="H112" s="79"/>
      <c r="I112" s="153">
        <f aca="true" t="shared" si="7" ref="I112:N112">SUM(I113:I142)</f>
        <v>150</v>
      </c>
      <c r="J112" s="153">
        <f t="shared" si="7"/>
        <v>133381.8</v>
      </c>
      <c r="K112" s="153">
        <f t="shared" si="7"/>
        <v>260</v>
      </c>
      <c r="L112" s="153">
        <f t="shared" si="7"/>
        <v>161272.7</v>
      </c>
      <c r="M112" s="153">
        <f t="shared" si="7"/>
        <v>440</v>
      </c>
      <c r="N112" s="153">
        <f t="shared" si="7"/>
        <v>93742.90000000002</v>
      </c>
    </row>
    <row r="113" spans="1:14" ht="18" customHeight="1">
      <c r="A113" s="22">
        <v>3111</v>
      </c>
      <c r="B113" s="36">
        <v>55</v>
      </c>
      <c r="C113" s="36">
        <v>910</v>
      </c>
      <c r="D113" s="45">
        <v>70499</v>
      </c>
      <c r="E113" s="20" t="s">
        <v>103</v>
      </c>
      <c r="F113" s="20"/>
      <c r="G113" s="20" t="s">
        <v>353</v>
      </c>
      <c r="H113" s="20" t="s">
        <v>415</v>
      </c>
      <c r="I113" s="155">
        <v>50</v>
      </c>
      <c r="J113" s="155"/>
      <c r="K113" s="155"/>
      <c r="L113" s="156"/>
      <c r="M113" s="200"/>
      <c r="N113" s="156"/>
    </row>
    <row r="114" spans="1:14" ht="18" customHeight="1">
      <c r="A114" s="22">
        <v>3111</v>
      </c>
      <c r="B114" s="36">
        <v>55</v>
      </c>
      <c r="C114" s="36">
        <v>920</v>
      </c>
      <c r="D114" s="45">
        <v>70499</v>
      </c>
      <c r="E114" s="20" t="s">
        <v>48</v>
      </c>
      <c r="F114" s="20" t="s">
        <v>376</v>
      </c>
      <c r="G114" s="20" t="s">
        <v>353</v>
      </c>
      <c r="H114" s="20" t="s">
        <v>332</v>
      </c>
      <c r="I114" s="155"/>
      <c r="J114" s="155">
        <v>800</v>
      </c>
      <c r="K114" s="155"/>
      <c r="L114" s="155"/>
      <c r="M114" s="196"/>
      <c r="N114" s="156"/>
    </row>
    <row r="115" spans="1:14" ht="18" customHeight="1">
      <c r="A115" s="22">
        <v>3214</v>
      </c>
      <c r="B115" s="36">
        <v>55</v>
      </c>
      <c r="C115" s="36">
        <v>920</v>
      </c>
      <c r="D115" s="45">
        <v>70499</v>
      </c>
      <c r="E115" s="20" t="s">
        <v>48</v>
      </c>
      <c r="F115" s="20" t="s">
        <v>376</v>
      </c>
      <c r="G115" s="20" t="s">
        <v>353</v>
      </c>
      <c r="H115" s="20" t="s">
        <v>332</v>
      </c>
      <c r="I115" s="155"/>
      <c r="J115" s="155">
        <v>2704.5</v>
      </c>
      <c r="K115" s="155"/>
      <c r="L115" s="155"/>
      <c r="M115" s="196"/>
      <c r="N115" s="156"/>
    </row>
    <row r="116" spans="1:14" ht="18" customHeight="1">
      <c r="A116" s="22">
        <v>3214</v>
      </c>
      <c r="B116" s="36">
        <v>55</v>
      </c>
      <c r="C116" s="36">
        <v>930</v>
      </c>
      <c r="D116" s="45">
        <v>70499</v>
      </c>
      <c r="E116" s="20" t="s">
        <v>49</v>
      </c>
      <c r="F116" s="20" t="s">
        <v>376</v>
      </c>
      <c r="G116" s="20" t="s">
        <v>353</v>
      </c>
      <c r="H116" s="20" t="s">
        <v>333</v>
      </c>
      <c r="I116" s="155"/>
      <c r="J116" s="155">
        <v>1159.1</v>
      </c>
      <c r="K116" s="155"/>
      <c r="L116" s="155"/>
      <c r="M116" s="196"/>
      <c r="N116" s="156"/>
    </row>
    <row r="117" spans="1:14" ht="18" customHeight="1">
      <c r="A117" s="22">
        <v>3214</v>
      </c>
      <c r="B117" s="36">
        <v>55</v>
      </c>
      <c r="C117" s="36">
        <v>920</v>
      </c>
      <c r="D117" s="45">
        <v>70499</v>
      </c>
      <c r="E117" s="20" t="s">
        <v>433</v>
      </c>
      <c r="F117" s="20" t="s">
        <v>378</v>
      </c>
      <c r="G117" s="20" t="s">
        <v>353</v>
      </c>
      <c r="H117" s="20" t="s">
        <v>332</v>
      </c>
      <c r="I117" s="155"/>
      <c r="J117" s="155">
        <v>348</v>
      </c>
      <c r="K117" s="155"/>
      <c r="L117" s="155"/>
      <c r="M117" s="196"/>
      <c r="N117" s="156"/>
    </row>
    <row r="118" spans="1:14" ht="18" customHeight="1">
      <c r="A118" s="22">
        <v>3111</v>
      </c>
      <c r="B118" s="36">
        <v>55</v>
      </c>
      <c r="C118" s="36">
        <v>920</v>
      </c>
      <c r="D118" s="45">
        <v>70499</v>
      </c>
      <c r="E118" s="20" t="s">
        <v>179</v>
      </c>
      <c r="F118" s="20" t="s">
        <v>389</v>
      </c>
      <c r="G118" s="20" t="s">
        <v>353</v>
      </c>
      <c r="H118" s="20" t="s">
        <v>332</v>
      </c>
      <c r="I118" s="155"/>
      <c r="J118" s="155">
        <v>6113.7</v>
      </c>
      <c r="K118" s="155"/>
      <c r="L118" s="155">
        <v>5337.1</v>
      </c>
      <c r="M118" s="196"/>
      <c r="N118" s="155">
        <v>2012</v>
      </c>
    </row>
    <row r="119" spans="1:14" ht="18" customHeight="1">
      <c r="A119" s="22">
        <v>3214</v>
      </c>
      <c r="B119" s="36">
        <v>55</v>
      </c>
      <c r="C119" s="36">
        <v>930</v>
      </c>
      <c r="D119" s="45">
        <v>70499</v>
      </c>
      <c r="E119" s="20" t="s">
        <v>443</v>
      </c>
      <c r="F119" s="20" t="s">
        <v>387</v>
      </c>
      <c r="G119" s="20" t="s">
        <v>353</v>
      </c>
      <c r="H119" s="20" t="s">
        <v>333</v>
      </c>
      <c r="I119" s="155"/>
      <c r="J119" s="155">
        <v>19300</v>
      </c>
      <c r="K119" s="155"/>
      <c r="L119" s="155"/>
      <c r="M119" s="196"/>
      <c r="N119" s="155"/>
    </row>
    <row r="120" spans="1:14" ht="18" customHeight="1">
      <c r="A120" s="22">
        <v>3214</v>
      </c>
      <c r="B120" s="36">
        <v>55</v>
      </c>
      <c r="C120" s="36">
        <v>920</v>
      </c>
      <c r="D120" s="45">
        <v>70499</v>
      </c>
      <c r="E120" s="20" t="s">
        <v>53</v>
      </c>
      <c r="F120" s="20" t="s">
        <v>377</v>
      </c>
      <c r="G120" s="20" t="s">
        <v>353</v>
      </c>
      <c r="H120" s="20" t="s">
        <v>332</v>
      </c>
      <c r="I120" s="155"/>
      <c r="J120" s="155">
        <v>2000</v>
      </c>
      <c r="K120" s="155"/>
      <c r="L120" s="155">
        <v>3750</v>
      </c>
      <c r="M120" s="196"/>
      <c r="N120" s="156">
        <v>500</v>
      </c>
    </row>
    <row r="121" spans="1:14" ht="18" customHeight="1">
      <c r="A121" s="22">
        <v>3214</v>
      </c>
      <c r="B121" s="36">
        <v>55</v>
      </c>
      <c r="C121" s="36">
        <v>930</v>
      </c>
      <c r="D121" s="45">
        <v>70499</v>
      </c>
      <c r="E121" s="20" t="s">
        <v>54</v>
      </c>
      <c r="F121" s="20" t="s">
        <v>377</v>
      </c>
      <c r="G121" s="20" t="s">
        <v>353</v>
      </c>
      <c r="H121" s="20" t="s">
        <v>333</v>
      </c>
      <c r="I121" s="155"/>
      <c r="J121" s="155">
        <v>14000</v>
      </c>
      <c r="K121" s="155"/>
      <c r="L121" s="155">
        <v>22500</v>
      </c>
      <c r="M121" s="196"/>
      <c r="N121" s="156">
        <v>4500</v>
      </c>
    </row>
    <row r="122" spans="1:14" ht="18" customHeight="1">
      <c r="A122" s="22">
        <v>3214</v>
      </c>
      <c r="B122" s="36">
        <v>55</v>
      </c>
      <c r="C122" s="36">
        <v>930</v>
      </c>
      <c r="D122" s="45">
        <v>70499</v>
      </c>
      <c r="E122" s="20" t="s">
        <v>160</v>
      </c>
      <c r="F122" s="20" t="s">
        <v>375</v>
      </c>
      <c r="G122" s="20" t="s">
        <v>353</v>
      </c>
      <c r="H122" s="20" t="s">
        <v>333</v>
      </c>
      <c r="I122" s="155"/>
      <c r="J122" s="155">
        <v>24000</v>
      </c>
      <c r="K122" s="155"/>
      <c r="L122" s="155">
        <v>45000</v>
      </c>
      <c r="M122" s="196"/>
      <c r="N122" s="156">
        <v>8000</v>
      </c>
    </row>
    <row r="123" spans="1:14" ht="18" customHeight="1">
      <c r="A123" s="22">
        <v>3214</v>
      </c>
      <c r="B123" s="36">
        <v>55</v>
      </c>
      <c r="C123" s="36">
        <v>930</v>
      </c>
      <c r="D123" s="45">
        <v>70499</v>
      </c>
      <c r="E123" s="20" t="s">
        <v>294</v>
      </c>
      <c r="F123" s="20" t="s">
        <v>384</v>
      </c>
      <c r="G123" s="20" t="s">
        <v>353</v>
      </c>
      <c r="H123" s="20" t="s">
        <v>333</v>
      </c>
      <c r="I123" s="155"/>
      <c r="J123" s="155">
        <v>12000</v>
      </c>
      <c r="K123" s="155"/>
      <c r="L123" s="155">
        <v>23500</v>
      </c>
      <c r="M123" s="196"/>
      <c r="N123" s="156">
        <v>5000</v>
      </c>
    </row>
    <row r="124" spans="1:14" ht="42.75" customHeight="1">
      <c r="A124" s="22">
        <v>3214</v>
      </c>
      <c r="B124" s="36">
        <v>55</v>
      </c>
      <c r="C124" s="36">
        <v>930</v>
      </c>
      <c r="D124" s="45">
        <v>70499</v>
      </c>
      <c r="E124" s="20" t="s">
        <v>295</v>
      </c>
      <c r="F124" s="20" t="s">
        <v>377</v>
      </c>
      <c r="G124" s="20" t="s">
        <v>353</v>
      </c>
      <c r="H124" s="20" t="s">
        <v>333</v>
      </c>
      <c r="I124" s="155"/>
      <c r="J124" s="155">
        <v>2035</v>
      </c>
      <c r="K124" s="155"/>
      <c r="L124" s="155">
        <v>14</v>
      </c>
      <c r="M124" s="196"/>
      <c r="N124" s="156"/>
    </row>
    <row r="125" spans="1:14" ht="37.5" customHeight="1">
      <c r="A125" s="22">
        <v>3214</v>
      </c>
      <c r="B125" s="36">
        <v>55</v>
      </c>
      <c r="C125" s="36">
        <v>930</v>
      </c>
      <c r="D125" s="45">
        <v>70499</v>
      </c>
      <c r="E125" s="20" t="s">
        <v>77</v>
      </c>
      <c r="F125" s="20" t="s">
        <v>384</v>
      </c>
      <c r="G125" s="20" t="s">
        <v>353</v>
      </c>
      <c r="H125" s="20" t="s">
        <v>333</v>
      </c>
      <c r="I125" s="155"/>
      <c r="J125" s="155">
        <v>5000</v>
      </c>
      <c r="K125" s="155"/>
      <c r="L125" s="155">
        <v>1800</v>
      </c>
      <c r="M125" s="196"/>
      <c r="N125" s="156"/>
    </row>
    <row r="126" spans="1:14" ht="33">
      <c r="A126" s="22">
        <v>3214</v>
      </c>
      <c r="B126" s="36">
        <v>55</v>
      </c>
      <c r="C126" s="36">
        <v>930</v>
      </c>
      <c r="D126" s="45">
        <v>70499</v>
      </c>
      <c r="E126" s="20" t="s">
        <v>361</v>
      </c>
      <c r="F126" s="20" t="s">
        <v>383</v>
      </c>
      <c r="G126" s="20" t="s">
        <v>353</v>
      </c>
      <c r="H126" s="20" t="s">
        <v>333</v>
      </c>
      <c r="I126" s="155"/>
      <c r="J126" s="155">
        <v>480</v>
      </c>
      <c r="K126" s="155"/>
      <c r="L126" s="155">
        <v>3397.5</v>
      </c>
      <c r="M126" s="196"/>
      <c r="N126" s="155">
        <v>25250</v>
      </c>
    </row>
    <row r="127" spans="1:14" ht="18" customHeight="1">
      <c r="A127" s="22">
        <v>3214</v>
      </c>
      <c r="B127" s="36">
        <v>55</v>
      </c>
      <c r="C127" s="36">
        <v>930</v>
      </c>
      <c r="D127" s="45">
        <v>70499</v>
      </c>
      <c r="E127" s="20" t="s">
        <v>327</v>
      </c>
      <c r="F127" s="20" t="s">
        <v>383</v>
      </c>
      <c r="G127" s="20" t="s">
        <v>353</v>
      </c>
      <c r="H127" s="20" t="s">
        <v>333</v>
      </c>
      <c r="I127" s="155"/>
      <c r="J127" s="155">
        <v>4093.3</v>
      </c>
      <c r="K127" s="155"/>
      <c r="L127" s="155">
        <v>16956.5</v>
      </c>
      <c r="M127" s="196"/>
      <c r="N127" s="155">
        <v>16953.2</v>
      </c>
    </row>
    <row r="128" spans="1:14" ht="18" customHeight="1">
      <c r="A128" s="22">
        <v>3111</v>
      </c>
      <c r="B128" s="36">
        <v>55</v>
      </c>
      <c r="C128" s="36">
        <v>910</v>
      </c>
      <c r="D128" s="45">
        <v>70499</v>
      </c>
      <c r="E128" s="20" t="s">
        <v>326</v>
      </c>
      <c r="F128" s="20"/>
      <c r="G128" s="20" t="s">
        <v>353</v>
      </c>
      <c r="H128" s="20" t="s">
        <v>415</v>
      </c>
      <c r="I128" s="155">
        <v>50</v>
      </c>
      <c r="J128" s="155"/>
      <c r="K128" s="155">
        <v>60</v>
      </c>
      <c r="L128" s="155"/>
      <c r="M128" s="196">
        <v>40</v>
      </c>
      <c r="N128" s="155"/>
    </row>
    <row r="129" spans="1:15" ht="18" customHeight="1">
      <c r="A129" s="22">
        <v>3111</v>
      </c>
      <c r="B129" s="36">
        <v>55</v>
      </c>
      <c r="C129" s="36">
        <v>920</v>
      </c>
      <c r="D129" s="45">
        <v>70499</v>
      </c>
      <c r="E129" s="20" t="s">
        <v>303</v>
      </c>
      <c r="F129" s="20" t="s">
        <v>376</v>
      </c>
      <c r="G129" s="20" t="s">
        <v>353</v>
      </c>
      <c r="H129" s="20" t="s">
        <v>332</v>
      </c>
      <c r="I129" s="155"/>
      <c r="J129" s="155">
        <f>600+1695.4</f>
        <v>2295.4</v>
      </c>
      <c r="K129" s="155"/>
      <c r="L129" s="155">
        <f>600+6382.6</f>
        <v>6982.6</v>
      </c>
      <c r="M129" s="196"/>
      <c r="N129" s="155">
        <f>879.4+6731.7</f>
        <v>7611.099999999999</v>
      </c>
      <c r="O129" s="22" t="s">
        <v>339</v>
      </c>
    </row>
    <row r="130" spans="1:14" ht="18" customHeight="1">
      <c r="A130" s="22">
        <v>3214</v>
      </c>
      <c r="B130" s="36">
        <v>55</v>
      </c>
      <c r="C130" s="36">
        <v>930</v>
      </c>
      <c r="D130" s="45">
        <v>70499</v>
      </c>
      <c r="E130" s="20" t="s">
        <v>304</v>
      </c>
      <c r="F130" s="20" t="s">
        <v>376</v>
      </c>
      <c r="G130" s="20" t="s">
        <v>353</v>
      </c>
      <c r="H130" s="20" t="s">
        <v>333</v>
      </c>
      <c r="I130" s="155"/>
      <c r="J130" s="155">
        <v>2027</v>
      </c>
      <c r="K130" s="155"/>
      <c r="L130" s="155">
        <v>8396.7</v>
      </c>
      <c r="M130" s="196"/>
      <c r="N130" s="155">
        <v>8395.1</v>
      </c>
    </row>
    <row r="131" spans="1:14" ht="18" customHeight="1">
      <c r="A131" s="22">
        <v>3111</v>
      </c>
      <c r="B131" s="36">
        <v>55</v>
      </c>
      <c r="C131" s="36">
        <v>930</v>
      </c>
      <c r="D131" s="45">
        <v>70499</v>
      </c>
      <c r="E131" s="20" t="s">
        <v>304</v>
      </c>
      <c r="F131" s="20" t="s">
        <v>376</v>
      </c>
      <c r="G131" s="20" t="s">
        <v>353</v>
      </c>
      <c r="H131" s="20" t="s">
        <v>333</v>
      </c>
      <c r="I131" s="155"/>
      <c r="J131" s="155">
        <v>489.9</v>
      </c>
      <c r="K131" s="155"/>
      <c r="L131" s="155">
        <v>2029.5</v>
      </c>
      <c r="M131" s="196"/>
      <c r="N131" s="155">
        <v>2029.1</v>
      </c>
    </row>
    <row r="132" spans="1:14" ht="18" customHeight="1">
      <c r="A132" s="22">
        <v>3111</v>
      </c>
      <c r="B132" s="36">
        <v>55</v>
      </c>
      <c r="C132" s="36">
        <v>910</v>
      </c>
      <c r="D132" s="45">
        <v>70499</v>
      </c>
      <c r="E132" s="20" t="s">
        <v>438</v>
      </c>
      <c r="F132" s="20"/>
      <c r="G132" s="20"/>
      <c r="H132" s="20"/>
      <c r="I132" s="155">
        <v>50</v>
      </c>
      <c r="J132" s="155"/>
      <c r="K132" s="155">
        <v>200</v>
      </c>
      <c r="L132" s="155"/>
      <c r="M132" s="196">
        <v>400</v>
      </c>
      <c r="N132" s="155"/>
    </row>
    <row r="133" spans="1:14" ht="18" customHeight="1">
      <c r="A133" s="165">
        <v>3214</v>
      </c>
      <c r="B133" s="163">
        <v>55</v>
      </c>
      <c r="C133" s="163">
        <v>920</v>
      </c>
      <c r="D133" s="164">
        <v>70499</v>
      </c>
      <c r="E133" s="113" t="s">
        <v>317</v>
      </c>
      <c r="F133" s="20" t="s">
        <v>376</v>
      </c>
      <c r="G133" s="20" t="s">
        <v>353</v>
      </c>
      <c r="H133" s="20" t="s">
        <v>332</v>
      </c>
      <c r="I133" s="155"/>
      <c r="J133" s="155">
        <f>500+629.6</f>
        <v>1129.6</v>
      </c>
      <c r="K133" s="155"/>
      <c r="L133" s="155">
        <f>2000+2890</f>
        <v>4890</v>
      </c>
      <c r="M133" s="196"/>
      <c r="N133" s="155">
        <f>4150+3310</f>
        <v>7460</v>
      </c>
    </row>
    <row r="134" spans="1:14" ht="18" customHeight="1">
      <c r="A134" s="22">
        <v>3214</v>
      </c>
      <c r="B134" s="36">
        <v>55</v>
      </c>
      <c r="C134" s="36">
        <v>930</v>
      </c>
      <c r="D134" s="45">
        <v>70499</v>
      </c>
      <c r="E134" s="20" t="s">
        <v>318</v>
      </c>
      <c r="F134" s="20" t="s">
        <v>376</v>
      </c>
      <c r="G134" s="20" t="s">
        <v>353</v>
      </c>
      <c r="H134" s="20" t="s">
        <v>333</v>
      </c>
      <c r="I134" s="155"/>
      <c r="J134" s="155">
        <v>885.6</v>
      </c>
      <c r="K134" s="155"/>
      <c r="L134" s="155">
        <v>1080</v>
      </c>
      <c r="M134" s="196"/>
      <c r="N134" s="155">
        <v>1080</v>
      </c>
    </row>
    <row r="135" spans="1:14" ht="18" customHeight="1">
      <c r="A135" s="22">
        <v>3214</v>
      </c>
      <c r="B135" s="36">
        <v>55</v>
      </c>
      <c r="C135" s="36">
        <v>930</v>
      </c>
      <c r="D135" s="45">
        <v>70499</v>
      </c>
      <c r="E135" s="20" t="s">
        <v>340</v>
      </c>
      <c r="F135" s="20" t="s">
        <v>377</v>
      </c>
      <c r="G135" s="20" t="s">
        <v>353</v>
      </c>
      <c r="H135" s="20" t="s">
        <v>332</v>
      </c>
      <c r="I135" s="155"/>
      <c r="J135" s="155">
        <v>13229.8</v>
      </c>
      <c r="K135" s="155"/>
      <c r="L135" s="155">
        <v>7182.3</v>
      </c>
      <c r="M135" s="196"/>
      <c r="N135" s="155">
        <v>2226.6</v>
      </c>
    </row>
    <row r="136" spans="1:14" ht="18" customHeight="1">
      <c r="A136" s="22">
        <v>3214</v>
      </c>
      <c r="B136" s="36">
        <v>55</v>
      </c>
      <c r="C136" s="36">
        <v>930</v>
      </c>
      <c r="D136" s="45">
        <v>70499</v>
      </c>
      <c r="E136" s="20" t="s">
        <v>341</v>
      </c>
      <c r="F136" s="20" t="s">
        <v>377</v>
      </c>
      <c r="G136" s="20" t="s">
        <v>353</v>
      </c>
      <c r="H136" s="20" t="s">
        <v>333</v>
      </c>
      <c r="I136" s="155"/>
      <c r="J136" s="155">
        <v>7981.4</v>
      </c>
      <c r="K136" s="155"/>
      <c r="L136" s="155"/>
      <c r="M136" s="196"/>
      <c r="N136" s="155"/>
    </row>
    <row r="137" spans="1:14" ht="18" customHeight="1">
      <c r="A137" s="22">
        <v>3214</v>
      </c>
      <c r="B137" s="36">
        <v>55</v>
      </c>
      <c r="C137" s="36">
        <v>930</v>
      </c>
      <c r="D137" s="45">
        <v>70499</v>
      </c>
      <c r="E137" s="20" t="s">
        <v>342</v>
      </c>
      <c r="F137" s="20" t="s">
        <v>390</v>
      </c>
      <c r="G137" s="20" t="s">
        <v>353</v>
      </c>
      <c r="H137" s="20" t="s">
        <v>332</v>
      </c>
      <c r="I137" s="155"/>
      <c r="J137" s="155">
        <v>1600.5</v>
      </c>
      <c r="K137" s="155"/>
      <c r="L137" s="155">
        <v>1669.5</v>
      </c>
      <c r="M137" s="196"/>
      <c r="N137" s="155">
        <v>380</v>
      </c>
    </row>
    <row r="138" spans="1:14" ht="18" customHeight="1">
      <c r="A138" s="22">
        <v>3214</v>
      </c>
      <c r="B138" s="36">
        <v>55</v>
      </c>
      <c r="C138" s="36">
        <v>930</v>
      </c>
      <c r="D138" s="45">
        <v>70499</v>
      </c>
      <c r="E138" s="20" t="s">
        <v>343</v>
      </c>
      <c r="F138" s="20" t="s">
        <v>390</v>
      </c>
      <c r="G138" s="20" t="s">
        <v>353</v>
      </c>
      <c r="H138" s="20" t="s">
        <v>333</v>
      </c>
      <c r="I138" s="155"/>
      <c r="J138" s="155">
        <v>3470</v>
      </c>
      <c r="K138" s="155"/>
      <c r="L138" s="155">
        <v>2890</v>
      </c>
      <c r="M138" s="196"/>
      <c r="N138" s="155">
        <v>590.8</v>
      </c>
    </row>
    <row r="139" spans="1:14" ht="18" customHeight="1">
      <c r="A139" s="22">
        <v>3214</v>
      </c>
      <c r="B139" s="36">
        <v>55</v>
      </c>
      <c r="C139" s="36">
        <v>930</v>
      </c>
      <c r="D139" s="45">
        <v>70499</v>
      </c>
      <c r="E139" s="20" t="s">
        <v>344</v>
      </c>
      <c r="F139" s="20" t="s">
        <v>390</v>
      </c>
      <c r="G139" s="20" t="s">
        <v>353</v>
      </c>
      <c r="H139" s="20" t="s">
        <v>332</v>
      </c>
      <c r="I139" s="155"/>
      <c r="J139" s="155">
        <v>1160</v>
      </c>
      <c r="K139" s="155"/>
      <c r="L139" s="155">
        <v>1160</v>
      </c>
      <c r="M139" s="196"/>
      <c r="N139" s="155"/>
    </row>
    <row r="140" spans="1:14" ht="18" customHeight="1">
      <c r="A140" s="22">
        <v>3214</v>
      </c>
      <c r="B140" s="36">
        <v>55</v>
      </c>
      <c r="C140" s="36">
        <v>930</v>
      </c>
      <c r="D140" s="45">
        <v>70499</v>
      </c>
      <c r="E140" s="20" t="s">
        <v>345</v>
      </c>
      <c r="F140" s="20" t="s">
        <v>390</v>
      </c>
      <c r="G140" s="20" t="s">
        <v>353</v>
      </c>
      <c r="H140" s="20" t="s">
        <v>333</v>
      </c>
      <c r="I140" s="155"/>
      <c r="J140" s="155">
        <v>1599</v>
      </c>
      <c r="K140" s="155"/>
      <c r="L140" s="155">
        <v>1287</v>
      </c>
      <c r="M140" s="196"/>
      <c r="N140" s="155">
        <v>1755</v>
      </c>
    </row>
    <row r="141" spans="1:14" ht="18" customHeight="1">
      <c r="A141" s="22">
        <v>3214</v>
      </c>
      <c r="B141" s="36">
        <v>55</v>
      </c>
      <c r="C141" s="36">
        <v>930</v>
      </c>
      <c r="D141" s="45">
        <v>70499</v>
      </c>
      <c r="E141" s="20" t="s">
        <v>346</v>
      </c>
      <c r="F141" s="20" t="s">
        <v>390</v>
      </c>
      <c r="G141" s="20" t="s">
        <v>353</v>
      </c>
      <c r="H141" s="20" t="s">
        <v>332</v>
      </c>
      <c r="I141" s="155"/>
      <c r="J141" s="155">
        <v>1160</v>
      </c>
      <c r="K141" s="155"/>
      <c r="L141" s="155"/>
      <c r="M141" s="196"/>
      <c r="N141" s="155"/>
    </row>
    <row r="142" spans="1:14" ht="18" customHeight="1">
      <c r="A142" s="22">
        <v>3214</v>
      </c>
      <c r="B142" s="36">
        <v>55</v>
      </c>
      <c r="C142" s="36">
        <v>930</v>
      </c>
      <c r="D142" s="45">
        <v>70499</v>
      </c>
      <c r="E142" s="20" t="s">
        <v>347</v>
      </c>
      <c r="F142" s="20" t="s">
        <v>390</v>
      </c>
      <c r="G142" s="20" t="s">
        <v>353</v>
      </c>
      <c r="H142" s="20" t="s">
        <v>333</v>
      </c>
      <c r="I142" s="155"/>
      <c r="J142" s="155">
        <v>2320</v>
      </c>
      <c r="K142" s="155"/>
      <c r="L142" s="155">
        <v>1450</v>
      </c>
      <c r="M142" s="196"/>
      <c r="N142" s="155"/>
    </row>
    <row r="143" spans="2:14" ht="18" customHeight="1">
      <c r="B143" s="36"/>
      <c r="C143" s="36"/>
      <c r="D143" s="45"/>
      <c r="E143" s="20"/>
      <c r="F143" s="20"/>
      <c r="G143" s="20"/>
      <c r="H143" s="20"/>
      <c r="I143" s="155"/>
      <c r="J143" s="155"/>
      <c r="K143" s="155"/>
      <c r="L143" s="155"/>
      <c r="M143" s="196"/>
      <c r="N143" s="155"/>
    </row>
    <row r="144" spans="2:14" ht="33">
      <c r="B144" s="36"/>
      <c r="C144" s="36"/>
      <c r="D144" s="45"/>
      <c r="E144" s="73" t="s">
        <v>320</v>
      </c>
      <c r="F144" s="73"/>
      <c r="G144" s="73"/>
      <c r="H144" s="73"/>
      <c r="I144" s="155"/>
      <c r="J144" s="152">
        <f>J145</f>
        <v>10425.2</v>
      </c>
      <c r="K144" s="152"/>
      <c r="L144" s="152">
        <f>L145</f>
        <v>13019.6</v>
      </c>
      <c r="M144" s="214"/>
      <c r="N144" s="152">
        <f>N145</f>
        <v>16489.6</v>
      </c>
    </row>
    <row r="145" spans="2:14" ht="18" customHeight="1">
      <c r="B145" s="36"/>
      <c r="C145" s="36"/>
      <c r="D145" s="45"/>
      <c r="E145" s="79" t="s">
        <v>313</v>
      </c>
      <c r="F145" s="79"/>
      <c r="G145" s="79"/>
      <c r="H145" s="79"/>
      <c r="I145" s="155"/>
      <c r="J145" s="153">
        <f>J146+J147</f>
        <v>10425.2</v>
      </c>
      <c r="K145" s="153"/>
      <c r="L145" s="153">
        <f>L146+L147</f>
        <v>13019.6</v>
      </c>
      <c r="M145" s="215"/>
      <c r="N145" s="153">
        <f>N146+N147</f>
        <v>16489.6</v>
      </c>
    </row>
    <row r="146" spans="1:14" ht="18" customHeight="1">
      <c r="A146" s="22">
        <v>3111</v>
      </c>
      <c r="B146" s="36">
        <v>63</v>
      </c>
      <c r="C146" s="36">
        <v>920</v>
      </c>
      <c r="D146" s="45">
        <v>70499</v>
      </c>
      <c r="E146" s="20" t="s">
        <v>321</v>
      </c>
      <c r="F146" s="20" t="s">
        <v>377</v>
      </c>
      <c r="G146" s="20" t="s">
        <v>352</v>
      </c>
      <c r="H146" s="20" t="s">
        <v>332</v>
      </c>
      <c r="I146" s="155"/>
      <c r="J146" s="155">
        <v>10425.2</v>
      </c>
      <c r="K146" s="155"/>
      <c r="L146" s="155">
        <v>8418.5</v>
      </c>
      <c r="M146" s="196"/>
      <c r="N146" s="155">
        <v>6000</v>
      </c>
    </row>
    <row r="147" spans="1:14" ht="18" customHeight="1">
      <c r="A147" s="22">
        <v>3111</v>
      </c>
      <c r="B147" s="36">
        <v>63</v>
      </c>
      <c r="C147" s="36">
        <v>930</v>
      </c>
      <c r="D147" s="45">
        <v>70499</v>
      </c>
      <c r="E147" s="20" t="s">
        <v>322</v>
      </c>
      <c r="F147" s="20" t="s">
        <v>377</v>
      </c>
      <c r="G147" s="20" t="s">
        <v>352</v>
      </c>
      <c r="H147" s="20" t="s">
        <v>333</v>
      </c>
      <c r="I147" s="155"/>
      <c r="J147" s="155"/>
      <c r="K147" s="155"/>
      <c r="L147" s="155">
        <v>4601.1</v>
      </c>
      <c r="M147" s="196"/>
      <c r="N147" s="155">
        <v>10489.6</v>
      </c>
    </row>
    <row r="148" spans="2:14" ht="18" customHeight="1">
      <c r="B148" s="36"/>
      <c r="C148" s="36"/>
      <c r="D148" s="45"/>
      <c r="E148" s="79"/>
      <c r="F148" s="79"/>
      <c r="G148" s="79"/>
      <c r="H148" s="79"/>
      <c r="I148" s="155"/>
      <c r="J148" s="155"/>
      <c r="K148" s="155"/>
      <c r="L148" s="155"/>
      <c r="M148" s="196"/>
      <c r="N148" s="155"/>
    </row>
    <row r="149" spans="2:14" ht="33">
      <c r="B149" s="40"/>
      <c r="C149" s="40"/>
      <c r="D149" s="45"/>
      <c r="E149" s="73" t="s">
        <v>350</v>
      </c>
      <c r="F149" s="73"/>
      <c r="G149" s="73"/>
      <c r="H149" s="73"/>
      <c r="I149" s="152">
        <f aca="true" t="shared" si="8" ref="I149:N149">I150</f>
        <v>5918.2</v>
      </c>
      <c r="J149" s="152">
        <f>J150</f>
        <v>44109.4</v>
      </c>
      <c r="K149" s="152">
        <f t="shared" si="8"/>
        <v>3691.5</v>
      </c>
      <c r="L149" s="152">
        <f t="shared" si="8"/>
        <v>37488.799999999996</v>
      </c>
      <c r="M149" s="198">
        <f t="shared" si="8"/>
        <v>3142.2</v>
      </c>
      <c r="N149" s="152">
        <f t="shared" si="8"/>
        <v>26470.4</v>
      </c>
    </row>
    <row r="150" spans="2:14" ht="18" customHeight="1">
      <c r="B150" s="40"/>
      <c r="C150" s="40"/>
      <c r="D150" s="45"/>
      <c r="E150" s="79" t="s">
        <v>313</v>
      </c>
      <c r="F150" s="79"/>
      <c r="G150" s="79"/>
      <c r="H150" s="79"/>
      <c r="I150" s="153">
        <f aca="true" t="shared" si="9" ref="I150:N150">SUM(I151:I175)</f>
        <v>5918.2</v>
      </c>
      <c r="J150" s="153">
        <f t="shared" si="9"/>
        <v>44109.4</v>
      </c>
      <c r="K150" s="153">
        <f t="shared" si="9"/>
        <v>3691.5</v>
      </c>
      <c r="L150" s="153">
        <f t="shared" si="9"/>
        <v>37488.799999999996</v>
      </c>
      <c r="M150" s="153">
        <f t="shared" si="9"/>
        <v>3142.2</v>
      </c>
      <c r="N150" s="153">
        <f t="shared" si="9"/>
        <v>26470.4</v>
      </c>
    </row>
    <row r="151" spans="1:14" ht="18" customHeight="1">
      <c r="A151" s="22">
        <v>3111</v>
      </c>
      <c r="B151" s="36">
        <v>51</v>
      </c>
      <c r="C151" s="36">
        <v>920</v>
      </c>
      <c r="D151" s="45">
        <v>70499</v>
      </c>
      <c r="E151" s="19" t="s">
        <v>301</v>
      </c>
      <c r="F151" s="19" t="s">
        <v>377</v>
      </c>
      <c r="G151" s="19" t="s">
        <v>351</v>
      </c>
      <c r="H151" s="19" t="s">
        <v>332</v>
      </c>
      <c r="I151" s="155"/>
      <c r="J151" s="155">
        <v>546.3</v>
      </c>
      <c r="K151" s="155"/>
      <c r="L151" s="155"/>
      <c r="M151" s="196"/>
      <c r="N151" s="156"/>
    </row>
    <row r="152" spans="1:14" ht="18" customHeight="1">
      <c r="A152" s="22">
        <v>3111</v>
      </c>
      <c r="B152" s="36">
        <v>51</v>
      </c>
      <c r="C152" s="36">
        <v>930</v>
      </c>
      <c r="D152" s="45">
        <v>70499</v>
      </c>
      <c r="E152" s="19" t="s">
        <v>300</v>
      </c>
      <c r="F152" s="19" t="s">
        <v>377</v>
      </c>
      <c r="G152" s="19" t="s">
        <v>351</v>
      </c>
      <c r="H152" s="19" t="s">
        <v>333</v>
      </c>
      <c r="I152" s="155"/>
      <c r="J152" s="155">
        <v>2000</v>
      </c>
      <c r="K152" s="155"/>
      <c r="L152" s="155">
        <v>4600</v>
      </c>
      <c r="M152" s="196"/>
      <c r="N152" s="156"/>
    </row>
    <row r="153" spans="1:14" ht="18" customHeight="1">
      <c r="A153" s="22">
        <v>3111</v>
      </c>
      <c r="B153" s="36">
        <v>51</v>
      </c>
      <c r="C153" s="36">
        <v>920</v>
      </c>
      <c r="D153" s="45">
        <v>70499</v>
      </c>
      <c r="E153" s="19" t="s">
        <v>299</v>
      </c>
      <c r="F153" s="19" t="s">
        <v>378</v>
      </c>
      <c r="G153" s="19" t="s">
        <v>351</v>
      </c>
      <c r="H153" s="19" t="s">
        <v>332</v>
      </c>
      <c r="I153" s="155"/>
      <c r="J153" s="155">
        <v>1815</v>
      </c>
      <c r="K153" s="155"/>
      <c r="L153" s="155"/>
      <c r="M153" s="196"/>
      <c r="N153" s="156"/>
    </row>
    <row r="154" spans="1:14" ht="18" customHeight="1">
      <c r="A154" s="22">
        <v>3111</v>
      </c>
      <c r="B154" s="36">
        <v>51</v>
      </c>
      <c r="C154" s="36">
        <v>910</v>
      </c>
      <c r="D154" s="45">
        <v>70499</v>
      </c>
      <c r="E154" s="19" t="s">
        <v>298</v>
      </c>
      <c r="F154" s="19"/>
      <c r="G154" s="19" t="s">
        <v>351</v>
      </c>
      <c r="H154" s="19" t="s">
        <v>415</v>
      </c>
      <c r="I154" s="155">
        <v>600</v>
      </c>
      <c r="J154" s="155"/>
      <c r="K154" s="155">
        <v>420</v>
      </c>
      <c r="L154" s="156"/>
      <c r="M154" s="200">
        <v>392.2</v>
      </c>
      <c r="N154" s="156"/>
    </row>
    <row r="155" spans="1:14" ht="18" customHeight="1">
      <c r="A155" s="22">
        <v>3111</v>
      </c>
      <c r="B155" s="36">
        <v>51</v>
      </c>
      <c r="C155" s="36">
        <v>930</v>
      </c>
      <c r="D155" s="45">
        <v>70499</v>
      </c>
      <c r="E155" s="19" t="s">
        <v>297</v>
      </c>
      <c r="F155" s="19" t="s">
        <v>384</v>
      </c>
      <c r="G155" s="19" t="s">
        <v>351</v>
      </c>
      <c r="H155" s="19" t="s">
        <v>333</v>
      </c>
      <c r="I155" s="155"/>
      <c r="J155" s="155">
        <v>1500</v>
      </c>
      <c r="K155" s="155"/>
      <c r="L155" s="155">
        <v>2480</v>
      </c>
      <c r="M155" s="196"/>
      <c r="N155" s="156">
        <v>2370</v>
      </c>
    </row>
    <row r="156" spans="1:14" ht="18" customHeight="1">
      <c r="A156" s="22">
        <v>3111</v>
      </c>
      <c r="B156" s="36">
        <v>51</v>
      </c>
      <c r="C156" s="36">
        <v>910</v>
      </c>
      <c r="D156" s="45">
        <v>70499</v>
      </c>
      <c r="E156" s="20" t="s">
        <v>314</v>
      </c>
      <c r="F156" s="20"/>
      <c r="G156" s="19" t="s">
        <v>351</v>
      </c>
      <c r="H156" s="20" t="s">
        <v>415</v>
      </c>
      <c r="I156" s="155">
        <v>1400</v>
      </c>
      <c r="J156" s="155"/>
      <c r="K156" s="155">
        <v>269</v>
      </c>
      <c r="L156" s="155"/>
      <c r="M156" s="200"/>
      <c r="N156" s="156"/>
    </row>
    <row r="157" spans="1:14" ht="18" customHeight="1">
      <c r="A157" s="22">
        <v>3111</v>
      </c>
      <c r="B157" s="36">
        <v>51</v>
      </c>
      <c r="C157" s="36">
        <v>920</v>
      </c>
      <c r="D157" s="45">
        <v>70499</v>
      </c>
      <c r="E157" s="20" t="s">
        <v>315</v>
      </c>
      <c r="F157" s="20" t="s">
        <v>377</v>
      </c>
      <c r="G157" s="19" t="s">
        <v>351</v>
      </c>
      <c r="H157" s="20" t="s">
        <v>332</v>
      </c>
      <c r="I157" s="155"/>
      <c r="J157" s="155">
        <v>382</v>
      </c>
      <c r="K157" s="155"/>
      <c r="L157" s="155">
        <v>245</v>
      </c>
      <c r="M157" s="196"/>
      <c r="N157" s="156"/>
    </row>
    <row r="158" spans="1:36" ht="18" customHeight="1">
      <c r="A158" s="22">
        <v>3111</v>
      </c>
      <c r="B158" s="36">
        <v>51</v>
      </c>
      <c r="C158" s="36">
        <v>930</v>
      </c>
      <c r="D158" s="45">
        <v>70499</v>
      </c>
      <c r="E158" s="20" t="s">
        <v>316</v>
      </c>
      <c r="F158" s="20" t="s">
        <v>377</v>
      </c>
      <c r="G158" s="19" t="s">
        <v>351</v>
      </c>
      <c r="H158" s="20" t="s">
        <v>333</v>
      </c>
      <c r="I158" s="155"/>
      <c r="J158" s="155">
        <v>4000</v>
      </c>
      <c r="K158" s="155"/>
      <c r="L158" s="155">
        <v>2600</v>
      </c>
      <c r="M158" s="196"/>
      <c r="N158" s="156"/>
      <c r="S158" s="201"/>
      <c r="T158" s="201"/>
      <c r="U158" s="201"/>
      <c r="V158" s="201"/>
      <c r="W158" s="201"/>
      <c r="X158" s="201"/>
      <c r="Y158" s="201"/>
      <c r="Z158" s="201"/>
      <c r="AA158" s="201"/>
      <c r="AB158" s="201"/>
      <c r="AC158" s="201"/>
      <c r="AD158" s="201"/>
      <c r="AE158" s="201"/>
      <c r="AF158" s="201"/>
      <c r="AG158" s="201"/>
      <c r="AH158" s="201"/>
      <c r="AI158" s="201"/>
      <c r="AJ158" s="201"/>
    </row>
    <row r="159" spans="1:36" ht="18" customHeight="1">
      <c r="A159" s="22">
        <v>3111</v>
      </c>
      <c r="B159" s="36">
        <v>51</v>
      </c>
      <c r="C159" s="36">
        <v>911</v>
      </c>
      <c r="D159" s="45">
        <v>70499</v>
      </c>
      <c r="E159" s="20" t="s">
        <v>92</v>
      </c>
      <c r="F159" s="20"/>
      <c r="G159" s="19" t="s">
        <v>351</v>
      </c>
      <c r="H159" s="20" t="s">
        <v>415</v>
      </c>
      <c r="I159" s="155">
        <v>76.6</v>
      </c>
      <c r="J159" s="155"/>
      <c r="K159" s="155"/>
      <c r="L159" s="155"/>
      <c r="M159" s="196"/>
      <c r="N159" s="156"/>
      <c r="S159" s="201"/>
      <c r="T159" s="201"/>
      <c r="U159" s="201"/>
      <c r="V159" s="201"/>
      <c r="W159" s="201"/>
      <c r="X159" s="201"/>
      <c r="Y159" s="201"/>
      <c r="Z159" s="201"/>
      <c r="AA159" s="201"/>
      <c r="AB159" s="201"/>
      <c r="AC159" s="201"/>
      <c r="AD159" s="201"/>
      <c r="AE159" s="201"/>
      <c r="AF159" s="201"/>
      <c r="AG159" s="201"/>
      <c r="AH159" s="201"/>
      <c r="AI159" s="201"/>
      <c r="AJ159" s="201"/>
    </row>
    <row r="160" spans="1:36" ht="18" customHeight="1">
      <c r="A160" s="22">
        <v>3111</v>
      </c>
      <c r="B160" s="36">
        <v>51</v>
      </c>
      <c r="C160" s="36">
        <v>921</v>
      </c>
      <c r="D160" s="45">
        <v>70499</v>
      </c>
      <c r="E160" s="20" t="s">
        <v>223</v>
      </c>
      <c r="F160" s="20" t="s">
        <v>381</v>
      </c>
      <c r="G160" s="19" t="s">
        <v>351</v>
      </c>
      <c r="H160" s="20" t="s">
        <v>332</v>
      </c>
      <c r="I160" s="155"/>
      <c r="J160" s="155">
        <v>1616.5</v>
      </c>
      <c r="K160" s="155"/>
      <c r="L160" s="155"/>
      <c r="M160" s="196"/>
      <c r="N160" s="156"/>
      <c r="S160" s="201"/>
      <c r="T160" s="201"/>
      <c r="U160" s="201"/>
      <c r="V160" s="201"/>
      <c r="W160" s="201"/>
      <c r="X160" s="201"/>
      <c r="Y160" s="201"/>
      <c r="Z160" s="201"/>
      <c r="AA160" s="201"/>
      <c r="AB160" s="201"/>
      <c r="AC160" s="201"/>
      <c r="AD160" s="201"/>
      <c r="AE160" s="201"/>
      <c r="AF160" s="201"/>
      <c r="AG160" s="201"/>
      <c r="AH160" s="201"/>
      <c r="AI160" s="201"/>
      <c r="AJ160" s="201"/>
    </row>
    <row r="161" spans="1:36" ht="18" customHeight="1">
      <c r="A161" s="22">
        <v>3111</v>
      </c>
      <c r="B161" s="36">
        <v>51</v>
      </c>
      <c r="C161" s="36">
        <v>921</v>
      </c>
      <c r="D161" s="45">
        <v>70499</v>
      </c>
      <c r="E161" s="20" t="s">
        <v>224</v>
      </c>
      <c r="F161" s="20" t="s">
        <v>382</v>
      </c>
      <c r="G161" s="19" t="s">
        <v>351</v>
      </c>
      <c r="H161" s="20" t="s">
        <v>332</v>
      </c>
      <c r="I161" s="155"/>
      <c r="J161" s="155">
        <v>3421.3</v>
      </c>
      <c r="K161" s="155"/>
      <c r="L161" s="155"/>
      <c r="M161" s="196"/>
      <c r="N161" s="156"/>
      <c r="S161" s="201"/>
      <c r="T161" s="201"/>
      <c r="U161" s="201"/>
      <c r="V161" s="201"/>
      <c r="W161" s="201"/>
      <c r="X161" s="201"/>
      <c r="Y161" s="201"/>
      <c r="Z161" s="201"/>
      <c r="AA161" s="201"/>
      <c r="AB161" s="201"/>
      <c r="AC161" s="201"/>
      <c r="AD161" s="201"/>
      <c r="AE161" s="201"/>
      <c r="AF161" s="201"/>
      <c r="AG161" s="201"/>
      <c r="AH161" s="201"/>
      <c r="AI161" s="201"/>
      <c r="AJ161" s="201"/>
    </row>
    <row r="162" spans="1:36" ht="18" customHeight="1">
      <c r="A162" s="22">
        <v>3111</v>
      </c>
      <c r="B162" s="36">
        <v>51</v>
      </c>
      <c r="C162" s="36">
        <v>931</v>
      </c>
      <c r="D162" s="45">
        <v>70499</v>
      </c>
      <c r="E162" s="20" t="s">
        <v>93</v>
      </c>
      <c r="F162" s="20" t="s">
        <v>381</v>
      </c>
      <c r="G162" s="19" t="s">
        <v>351</v>
      </c>
      <c r="H162" s="20" t="s">
        <v>333</v>
      </c>
      <c r="I162" s="155"/>
      <c r="J162" s="155">
        <v>3701.1</v>
      </c>
      <c r="K162" s="155"/>
      <c r="L162" s="155"/>
      <c r="M162" s="196"/>
      <c r="N162" s="156"/>
      <c r="S162" s="201"/>
      <c r="T162" s="201"/>
      <c r="U162" s="201"/>
      <c r="V162" s="201"/>
      <c r="W162" s="201"/>
      <c r="X162" s="201"/>
      <c r="Y162" s="201"/>
      <c r="Z162" s="201"/>
      <c r="AA162" s="201"/>
      <c r="AB162" s="201"/>
      <c r="AC162" s="201"/>
      <c r="AD162" s="201"/>
      <c r="AE162" s="201"/>
      <c r="AF162" s="201"/>
      <c r="AG162" s="201"/>
      <c r="AH162" s="201"/>
      <c r="AI162" s="201"/>
      <c r="AJ162" s="201"/>
    </row>
    <row r="163" spans="1:36" ht="18" customHeight="1">
      <c r="A163" s="22">
        <v>3111</v>
      </c>
      <c r="B163" s="36">
        <v>51</v>
      </c>
      <c r="C163" s="36">
        <v>911</v>
      </c>
      <c r="D163" s="45">
        <v>70499</v>
      </c>
      <c r="E163" s="20" t="s">
        <v>444</v>
      </c>
      <c r="F163" s="20"/>
      <c r="G163" s="19" t="s">
        <v>351</v>
      </c>
      <c r="H163" s="20" t="s">
        <v>415</v>
      </c>
      <c r="I163" s="155">
        <v>20</v>
      </c>
      <c r="J163" s="155"/>
      <c r="K163" s="155">
        <v>30</v>
      </c>
      <c r="L163" s="155"/>
      <c r="M163" s="196">
        <v>25</v>
      </c>
      <c r="N163" s="156"/>
      <c r="S163" s="201"/>
      <c r="T163" s="201"/>
      <c r="U163" s="201"/>
      <c r="V163" s="201"/>
      <c r="W163" s="201"/>
      <c r="X163" s="201"/>
      <c r="Y163" s="201"/>
      <c r="Z163" s="201"/>
      <c r="AA163" s="201"/>
      <c r="AB163" s="201"/>
      <c r="AC163" s="201"/>
      <c r="AD163" s="201"/>
      <c r="AE163" s="201"/>
      <c r="AF163" s="201"/>
      <c r="AG163" s="201"/>
      <c r="AH163" s="201"/>
      <c r="AI163" s="201"/>
      <c r="AJ163" s="201"/>
    </row>
    <row r="164" spans="1:36" ht="18" customHeight="1">
      <c r="A164" s="22">
        <v>3111</v>
      </c>
      <c r="B164" s="36">
        <v>51</v>
      </c>
      <c r="C164" s="36">
        <v>921</v>
      </c>
      <c r="D164" s="45">
        <v>70499</v>
      </c>
      <c r="E164" s="20" t="s">
        <v>440</v>
      </c>
      <c r="F164" s="20" t="s">
        <v>381</v>
      </c>
      <c r="G164" s="19" t="s">
        <v>351</v>
      </c>
      <c r="H164" s="20" t="s">
        <v>332</v>
      </c>
      <c r="I164" s="155"/>
      <c r="J164" s="155">
        <v>1000</v>
      </c>
      <c r="K164" s="155"/>
      <c r="L164" s="155">
        <v>1450</v>
      </c>
      <c r="M164" s="196"/>
      <c r="N164" s="156">
        <v>1250</v>
      </c>
      <c r="O164" s="22">
        <v>-300</v>
      </c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</row>
    <row r="165" spans="1:36" ht="18" customHeight="1">
      <c r="A165" s="22">
        <v>3111</v>
      </c>
      <c r="B165" s="36">
        <v>51</v>
      </c>
      <c r="C165" s="36">
        <v>931</v>
      </c>
      <c r="D165" s="45">
        <v>70499</v>
      </c>
      <c r="E165" s="20" t="s">
        <v>441</v>
      </c>
      <c r="F165" s="20" t="s">
        <v>381</v>
      </c>
      <c r="G165" s="19" t="s">
        <v>351</v>
      </c>
      <c r="H165" s="20" t="s">
        <v>333</v>
      </c>
      <c r="I165" s="155"/>
      <c r="J165" s="155">
        <v>400</v>
      </c>
      <c r="K165" s="155"/>
      <c r="L165" s="155">
        <v>1047</v>
      </c>
      <c r="M165" s="196"/>
      <c r="N165" s="156">
        <v>1047</v>
      </c>
      <c r="O165" s="22">
        <v>-48</v>
      </c>
      <c r="S165" s="201"/>
      <c r="T165" s="201"/>
      <c r="U165" s="201"/>
      <c r="V165" s="201"/>
      <c r="W165" s="201"/>
      <c r="X165" s="201"/>
      <c r="Y165" s="201"/>
      <c r="Z165" s="201"/>
      <c r="AA165" s="201"/>
      <c r="AB165" s="201"/>
      <c r="AC165" s="201"/>
      <c r="AD165" s="201"/>
      <c r="AE165" s="201"/>
      <c r="AF165" s="201"/>
      <c r="AG165" s="201"/>
      <c r="AH165" s="201"/>
      <c r="AI165" s="201"/>
      <c r="AJ165" s="201"/>
    </row>
    <row r="166" spans="1:36" ht="33">
      <c r="A166" s="22">
        <v>3111</v>
      </c>
      <c r="B166" s="36">
        <v>51</v>
      </c>
      <c r="C166" s="36">
        <v>931</v>
      </c>
      <c r="D166" s="45">
        <v>70499</v>
      </c>
      <c r="E166" s="20" t="s">
        <v>272</v>
      </c>
      <c r="F166" s="20" t="s">
        <v>377</v>
      </c>
      <c r="G166" s="19" t="s">
        <v>351</v>
      </c>
      <c r="H166" s="20" t="s">
        <v>333</v>
      </c>
      <c r="I166" s="155"/>
      <c r="J166" s="155">
        <v>2144.4</v>
      </c>
      <c r="K166" s="155"/>
      <c r="L166" s="155"/>
      <c r="M166" s="196"/>
      <c r="N166" s="156"/>
      <c r="S166" s="201"/>
      <c r="T166" s="201"/>
      <c r="U166" s="201"/>
      <c r="V166" s="201"/>
      <c r="W166" s="201"/>
      <c r="X166" s="201"/>
      <c r="Y166" s="201"/>
      <c r="Z166" s="201"/>
      <c r="AA166" s="201"/>
      <c r="AB166" s="201"/>
      <c r="AC166" s="201"/>
      <c r="AD166" s="201"/>
      <c r="AE166" s="201"/>
      <c r="AF166" s="201"/>
      <c r="AG166" s="201"/>
      <c r="AH166" s="201"/>
      <c r="AI166" s="201"/>
      <c r="AJ166" s="201"/>
    </row>
    <row r="167" spans="1:14" ht="18" customHeight="1">
      <c r="A167" s="22">
        <v>3111</v>
      </c>
      <c r="B167" s="36">
        <v>51</v>
      </c>
      <c r="C167" s="36">
        <v>910</v>
      </c>
      <c r="D167" s="45">
        <v>70499</v>
      </c>
      <c r="E167" s="20" t="s">
        <v>446</v>
      </c>
      <c r="F167" s="20"/>
      <c r="G167" s="19" t="s">
        <v>351</v>
      </c>
      <c r="H167" s="20" t="s">
        <v>415</v>
      </c>
      <c r="I167" s="155">
        <v>2321.6</v>
      </c>
      <c r="J167" s="155"/>
      <c r="K167" s="155">
        <v>172.5</v>
      </c>
      <c r="L167" s="155"/>
      <c r="M167" s="196"/>
      <c r="N167" s="156"/>
    </row>
    <row r="168" spans="1:14" ht="18" customHeight="1">
      <c r="A168" s="22">
        <v>3111</v>
      </c>
      <c r="B168" s="36">
        <v>51</v>
      </c>
      <c r="C168" s="36">
        <v>920</v>
      </c>
      <c r="D168" s="45">
        <v>70499</v>
      </c>
      <c r="E168" s="20" t="s">
        <v>447</v>
      </c>
      <c r="F168" s="20" t="s">
        <v>377</v>
      </c>
      <c r="G168" s="19" t="s">
        <v>351</v>
      </c>
      <c r="H168" s="20" t="s">
        <v>332</v>
      </c>
      <c r="I168" s="155"/>
      <c r="J168" s="155">
        <v>2441.9</v>
      </c>
      <c r="K168" s="155"/>
      <c r="L168" s="155">
        <v>862.3</v>
      </c>
      <c r="M168" s="196"/>
      <c r="N168" s="156">
        <v>823.2</v>
      </c>
    </row>
    <row r="169" spans="1:14" ht="18" customHeight="1">
      <c r="A169" s="22">
        <v>3111</v>
      </c>
      <c r="B169" s="36">
        <v>51</v>
      </c>
      <c r="C169" s="36">
        <v>930</v>
      </c>
      <c r="D169" s="45">
        <v>70499</v>
      </c>
      <c r="E169" s="20" t="s">
        <v>448</v>
      </c>
      <c r="F169" s="20" t="s">
        <v>377</v>
      </c>
      <c r="G169" s="19" t="s">
        <v>351</v>
      </c>
      <c r="H169" s="20" t="s">
        <v>333</v>
      </c>
      <c r="I169" s="155"/>
      <c r="J169" s="155">
        <v>6759.3</v>
      </c>
      <c r="K169" s="155"/>
      <c r="L169" s="155">
        <v>784.3</v>
      </c>
      <c r="M169" s="196"/>
      <c r="N169" s="156"/>
    </row>
    <row r="170" spans="1:14" ht="18" customHeight="1">
      <c r="A170" s="22">
        <v>3111</v>
      </c>
      <c r="B170" s="36">
        <v>51</v>
      </c>
      <c r="C170" s="36">
        <v>910</v>
      </c>
      <c r="D170" s="45">
        <v>70499</v>
      </c>
      <c r="E170" s="20" t="s">
        <v>449</v>
      </c>
      <c r="F170" s="20"/>
      <c r="G170" s="19" t="s">
        <v>351</v>
      </c>
      <c r="H170" s="20" t="s">
        <v>415</v>
      </c>
      <c r="I170" s="155">
        <v>1000</v>
      </c>
      <c r="J170" s="155"/>
      <c r="K170" s="155">
        <v>2100</v>
      </c>
      <c r="L170" s="155"/>
      <c r="M170" s="196">
        <v>1900</v>
      </c>
      <c r="N170" s="156"/>
    </row>
    <row r="171" spans="1:15" ht="18" customHeight="1">
      <c r="A171" s="22">
        <v>3111</v>
      </c>
      <c r="B171" s="36">
        <v>51</v>
      </c>
      <c r="C171" s="36">
        <v>920</v>
      </c>
      <c r="D171" s="45">
        <v>70499</v>
      </c>
      <c r="E171" s="20" t="s">
        <v>450</v>
      </c>
      <c r="F171" s="20" t="s">
        <v>377</v>
      </c>
      <c r="G171" s="19" t="s">
        <v>351</v>
      </c>
      <c r="H171" s="20" t="s">
        <v>332</v>
      </c>
      <c r="I171" s="155"/>
      <c r="J171" s="155">
        <v>3000</v>
      </c>
      <c r="K171" s="155"/>
      <c r="L171" s="155">
        <v>4250</v>
      </c>
      <c r="M171" s="196"/>
      <c r="N171" s="156">
        <v>3532</v>
      </c>
      <c r="O171" s="22">
        <v>-500</v>
      </c>
    </row>
    <row r="172" spans="1:15" ht="18" customHeight="1">
      <c r="A172" s="22">
        <v>3111</v>
      </c>
      <c r="B172" s="36">
        <v>51</v>
      </c>
      <c r="C172" s="36">
        <v>930</v>
      </c>
      <c r="D172" s="45">
        <v>70499</v>
      </c>
      <c r="E172" s="20" t="s">
        <v>451</v>
      </c>
      <c r="F172" s="20" t="s">
        <v>377</v>
      </c>
      <c r="G172" s="19" t="s">
        <v>351</v>
      </c>
      <c r="H172" s="20" t="s">
        <v>333</v>
      </c>
      <c r="I172" s="155"/>
      <c r="J172" s="155">
        <v>2000</v>
      </c>
      <c r="K172" s="155"/>
      <c r="L172" s="155">
        <v>7500</v>
      </c>
      <c r="M172" s="196"/>
      <c r="N172" s="156">
        <v>6500</v>
      </c>
      <c r="O172" s="22">
        <v>-1000</v>
      </c>
    </row>
    <row r="173" spans="1:14" ht="18" customHeight="1">
      <c r="A173" s="22">
        <v>3111</v>
      </c>
      <c r="B173" s="36">
        <v>51</v>
      </c>
      <c r="C173" s="36">
        <v>910</v>
      </c>
      <c r="D173" s="45">
        <v>70499</v>
      </c>
      <c r="E173" s="20" t="s">
        <v>452</v>
      </c>
      <c r="F173" s="20"/>
      <c r="G173" s="19" t="s">
        <v>351</v>
      </c>
      <c r="H173" s="20" t="s">
        <v>415</v>
      </c>
      <c r="I173" s="155">
        <v>500</v>
      </c>
      <c r="J173" s="155" t="s">
        <v>445</v>
      </c>
      <c r="K173" s="155">
        <v>700</v>
      </c>
      <c r="L173" s="155"/>
      <c r="M173" s="196">
        <v>825</v>
      </c>
      <c r="N173" s="156"/>
    </row>
    <row r="174" spans="1:15" ht="18" customHeight="1">
      <c r="A174" s="22">
        <v>3111</v>
      </c>
      <c r="B174" s="36">
        <v>51</v>
      </c>
      <c r="C174" s="36">
        <v>930</v>
      </c>
      <c r="D174" s="45">
        <v>70499</v>
      </c>
      <c r="E174" s="20" t="s">
        <v>453</v>
      </c>
      <c r="F174" s="20" t="s">
        <v>384</v>
      </c>
      <c r="G174" s="19" t="s">
        <v>351</v>
      </c>
      <c r="H174" s="20" t="s">
        <v>333</v>
      </c>
      <c r="I174" s="155"/>
      <c r="J174" s="155">
        <v>5000</v>
      </c>
      <c r="K174" s="155"/>
      <c r="L174" s="155">
        <v>6000</v>
      </c>
      <c r="M174" s="196"/>
      <c r="N174" s="156">
        <v>5000</v>
      </c>
      <c r="O174" s="22">
        <v>-500</v>
      </c>
    </row>
    <row r="175" spans="1:14" ht="18" customHeight="1">
      <c r="A175" s="22">
        <v>3111</v>
      </c>
      <c r="B175" s="36">
        <v>51</v>
      </c>
      <c r="C175" s="36">
        <v>920</v>
      </c>
      <c r="D175" s="45">
        <v>70499</v>
      </c>
      <c r="E175" s="20" t="s">
        <v>319</v>
      </c>
      <c r="F175" s="20" t="s">
        <v>377</v>
      </c>
      <c r="G175" s="19" t="s">
        <v>351</v>
      </c>
      <c r="H175" s="20" t="s">
        <v>332</v>
      </c>
      <c r="I175" s="155"/>
      <c r="J175" s="155">
        <v>2381.6</v>
      </c>
      <c r="K175" s="155"/>
      <c r="L175" s="155">
        <v>5670.2</v>
      </c>
      <c r="M175" s="196"/>
      <c r="N175" s="156">
        <v>5948.2</v>
      </c>
    </row>
    <row r="176" spans="2:14" ht="21.75" customHeight="1">
      <c r="B176" s="36"/>
      <c r="C176" s="36"/>
      <c r="D176" s="45"/>
      <c r="E176" s="19"/>
      <c r="F176" s="19"/>
      <c r="G176" s="19"/>
      <c r="H176" s="19"/>
      <c r="I176" s="155"/>
      <c r="J176" s="155"/>
      <c r="K176" s="155"/>
      <c r="L176" s="155"/>
      <c r="M176" s="196"/>
      <c r="N176" s="156"/>
    </row>
    <row r="177" spans="2:14" ht="33">
      <c r="B177" s="36"/>
      <c r="C177" s="36"/>
      <c r="D177" s="45"/>
      <c r="E177" s="73" t="s">
        <v>202</v>
      </c>
      <c r="F177" s="73"/>
      <c r="G177" s="73"/>
      <c r="H177" s="73"/>
      <c r="I177" s="152">
        <f aca="true" t="shared" si="10" ref="I177:N177">I178</f>
        <v>0</v>
      </c>
      <c r="J177" s="152">
        <f t="shared" si="10"/>
        <v>2000</v>
      </c>
      <c r="K177" s="152">
        <f t="shared" si="10"/>
        <v>0</v>
      </c>
      <c r="L177" s="152">
        <f t="shared" si="10"/>
        <v>3500</v>
      </c>
      <c r="M177" s="198">
        <f t="shared" si="10"/>
        <v>0</v>
      </c>
      <c r="N177" s="152">
        <f t="shared" si="10"/>
        <v>6000</v>
      </c>
    </row>
    <row r="178" spans="2:14" ht="18" customHeight="1">
      <c r="B178" s="36"/>
      <c r="C178" s="36"/>
      <c r="D178" s="45"/>
      <c r="E178" s="79" t="s">
        <v>313</v>
      </c>
      <c r="F178" s="79"/>
      <c r="G178" s="79"/>
      <c r="H178" s="79"/>
      <c r="I178" s="153">
        <f aca="true" t="shared" si="11" ref="I178:N178">SUM(I179:I180)</f>
        <v>0</v>
      </c>
      <c r="J178" s="153">
        <f>SUM(J179:J180)</f>
        <v>2000</v>
      </c>
      <c r="K178" s="153">
        <f t="shared" si="11"/>
        <v>0</v>
      </c>
      <c r="L178" s="153">
        <f t="shared" si="11"/>
        <v>3500</v>
      </c>
      <c r="M178" s="199">
        <f t="shared" si="11"/>
        <v>0</v>
      </c>
      <c r="N178" s="153">
        <f t="shared" si="11"/>
        <v>6000</v>
      </c>
    </row>
    <row r="179" spans="1:14" ht="33">
      <c r="A179" s="22">
        <v>3111</v>
      </c>
      <c r="B179" s="36">
        <v>52</v>
      </c>
      <c r="C179" s="36">
        <v>920</v>
      </c>
      <c r="D179" s="45">
        <v>70499</v>
      </c>
      <c r="E179" s="20" t="s">
        <v>425</v>
      </c>
      <c r="F179" s="20" t="s">
        <v>377</v>
      </c>
      <c r="G179" s="20" t="s">
        <v>338</v>
      </c>
      <c r="H179" s="20" t="s">
        <v>332</v>
      </c>
      <c r="I179" s="155"/>
      <c r="J179" s="155">
        <v>1700</v>
      </c>
      <c r="K179" s="155"/>
      <c r="L179" s="155">
        <v>2000</v>
      </c>
      <c r="M179" s="196"/>
      <c r="N179" s="156">
        <v>3000</v>
      </c>
    </row>
    <row r="180" spans="1:14" ht="33">
      <c r="A180" s="22">
        <v>3111</v>
      </c>
      <c r="B180" s="36">
        <v>52</v>
      </c>
      <c r="C180" s="36">
        <v>930</v>
      </c>
      <c r="D180" s="45">
        <v>70499</v>
      </c>
      <c r="E180" s="20" t="s">
        <v>426</v>
      </c>
      <c r="F180" s="20" t="s">
        <v>377</v>
      </c>
      <c r="G180" s="20" t="s">
        <v>338</v>
      </c>
      <c r="H180" s="20" t="s">
        <v>333</v>
      </c>
      <c r="I180" s="155"/>
      <c r="J180" s="155">
        <v>300</v>
      </c>
      <c r="K180" s="155"/>
      <c r="L180" s="155">
        <v>1500</v>
      </c>
      <c r="M180" s="196"/>
      <c r="N180" s="156">
        <v>3000</v>
      </c>
    </row>
    <row r="181" spans="2:14" ht="18" customHeight="1">
      <c r="B181" s="36"/>
      <c r="C181" s="36"/>
      <c r="D181" s="45"/>
      <c r="E181" s="19"/>
      <c r="F181" s="19"/>
      <c r="G181" s="19"/>
      <c r="H181" s="19"/>
      <c r="I181" s="155"/>
      <c r="J181" s="155"/>
      <c r="K181" s="155"/>
      <c r="L181" s="155"/>
      <c r="M181" s="196"/>
      <c r="N181" s="156"/>
    </row>
    <row r="182" spans="2:14" ht="33">
      <c r="B182" s="36"/>
      <c r="C182" s="36"/>
      <c r="D182" s="36"/>
      <c r="E182" s="80" t="s">
        <v>152</v>
      </c>
      <c r="F182" s="80"/>
      <c r="G182" s="80"/>
      <c r="H182" s="80"/>
      <c r="I182" s="152"/>
      <c r="J182" s="152">
        <f>J183</f>
        <v>63027.5</v>
      </c>
      <c r="K182" s="152"/>
      <c r="L182" s="152">
        <f>L183</f>
        <v>55163</v>
      </c>
      <c r="M182" s="198"/>
      <c r="N182" s="152">
        <f>N183</f>
        <v>10908.5</v>
      </c>
    </row>
    <row r="183" spans="2:14" ht="18" customHeight="1">
      <c r="B183" s="36"/>
      <c r="C183" s="36"/>
      <c r="D183" s="36"/>
      <c r="E183" s="79" t="s">
        <v>313</v>
      </c>
      <c r="F183" s="79"/>
      <c r="G183" s="79"/>
      <c r="H183" s="79"/>
      <c r="I183" s="153"/>
      <c r="J183" s="153">
        <f>SUM(J184:J225)</f>
        <v>63027.5</v>
      </c>
      <c r="K183" s="153"/>
      <c r="L183" s="153">
        <f>SUM(L184:L225)</f>
        <v>55163</v>
      </c>
      <c r="M183" s="199"/>
      <c r="N183" s="153">
        <f>SUM(N184:N225)</f>
        <v>10908.5</v>
      </c>
    </row>
    <row r="184" spans="1:14" ht="33">
      <c r="A184" s="22">
        <v>3111</v>
      </c>
      <c r="B184" s="36">
        <v>60</v>
      </c>
      <c r="C184" s="36">
        <v>921</v>
      </c>
      <c r="D184" s="45">
        <v>70499</v>
      </c>
      <c r="E184" s="20" t="s">
        <v>403</v>
      </c>
      <c r="F184" s="20" t="s">
        <v>404</v>
      </c>
      <c r="G184" s="20" t="s">
        <v>336</v>
      </c>
      <c r="H184" s="20" t="s">
        <v>332</v>
      </c>
      <c r="I184" s="155"/>
      <c r="J184" s="155">
        <v>2127.3</v>
      </c>
      <c r="K184" s="155"/>
      <c r="L184" s="155">
        <v>866.7</v>
      </c>
      <c r="M184" s="196"/>
      <c r="N184" s="156"/>
    </row>
    <row r="185" spans="1:14" ht="33">
      <c r="A185" s="22">
        <v>3214</v>
      </c>
      <c r="B185" s="36">
        <v>60</v>
      </c>
      <c r="C185" s="36">
        <v>931</v>
      </c>
      <c r="D185" s="45">
        <v>70499</v>
      </c>
      <c r="E185" s="20" t="s">
        <v>218</v>
      </c>
      <c r="F185" s="20" t="s">
        <v>390</v>
      </c>
      <c r="G185" s="20" t="s">
        <v>336</v>
      </c>
      <c r="H185" s="20" t="s">
        <v>333</v>
      </c>
      <c r="I185" s="155"/>
      <c r="J185" s="155">
        <v>1995.3</v>
      </c>
      <c r="K185" s="155"/>
      <c r="L185" s="155">
        <v>801.8</v>
      </c>
      <c r="M185" s="196"/>
      <c r="N185" s="156"/>
    </row>
    <row r="186" spans="1:14" ht="16.5">
      <c r="A186" s="22">
        <v>3111</v>
      </c>
      <c r="B186" s="36">
        <v>60</v>
      </c>
      <c r="C186" s="36">
        <v>921</v>
      </c>
      <c r="D186" s="45">
        <v>70499</v>
      </c>
      <c r="E186" s="20" t="s">
        <v>405</v>
      </c>
      <c r="F186" s="20" t="s">
        <v>402</v>
      </c>
      <c r="G186" s="20" t="s">
        <v>336</v>
      </c>
      <c r="H186" s="20" t="s">
        <v>332</v>
      </c>
      <c r="I186" s="155"/>
      <c r="J186" s="155">
        <v>1427</v>
      </c>
      <c r="K186" s="155"/>
      <c r="L186" s="155">
        <f>2900*1.2</f>
        <v>3480</v>
      </c>
      <c r="M186" s="200"/>
      <c r="N186" s="155"/>
    </row>
    <row r="187" spans="1:36" s="201" customFormat="1" ht="33">
      <c r="A187" s="201">
        <v>3214</v>
      </c>
      <c r="B187" s="36">
        <v>60</v>
      </c>
      <c r="C187" s="36">
        <v>931</v>
      </c>
      <c r="D187" s="40">
        <v>70499</v>
      </c>
      <c r="E187" s="20" t="s">
        <v>296</v>
      </c>
      <c r="F187" s="20" t="s">
        <v>390</v>
      </c>
      <c r="G187" s="20" t="s">
        <v>336</v>
      </c>
      <c r="H187" s="20" t="s">
        <v>333</v>
      </c>
      <c r="I187" s="155"/>
      <c r="J187" s="155">
        <v>1570</v>
      </c>
      <c r="K187" s="155"/>
      <c r="L187" s="155">
        <f>2900*1.2</f>
        <v>3480</v>
      </c>
      <c r="M187" s="200"/>
      <c r="N187" s="155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</row>
    <row r="188" spans="1:36" s="201" customFormat="1" ht="16.5">
      <c r="A188" s="22">
        <v>3111</v>
      </c>
      <c r="B188" s="36">
        <v>60</v>
      </c>
      <c r="C188" s="36">
        <v>921</v>
      </c>
      <c r="D188" s="45">
        <v>70499</v>
      </c>
      <c r="E188" s="20" t="s">
        <v>431</v>
      </c>
      <c r="F188" s="20" t="s">
        <v>390</v>
      </c>
      <c r="G188" s="20" t="s">
        <v>432</v>
      </c>
      <c r="H188" s="20" t="s">
        <v>332</v>
      </c>
      <c r="I188" s="155"/>
      <c r="J188" s="155">
        <v>151.2</v>
      </c>
      <c r="K188" s="155"/>
      <c r="L188" s="155"/>
      <c r="M188" s="200"/>
      <c r="N188" s="155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</row>
    <row r="189" spans="1:36" s="201" customFormat="1" ht="16.5">
      <c r="A189" s="201">
        <v>3214</v>
      </c>
      <c r="B189" s="36">
        <v>60</v>
      </c>
      <c r="C189" s="36">
        <v>931</v>
      </c>
      <c r="D189" s="40">
        <v>70499</v>
      </c>
      <c r="E189" s="20" t="s">
        <v>454</v>
      </c>
      <c r="F189" s="20" t="s">
        <v>390</v>
      </c>
      <c r="G189" s="20" t="s">
        <v>432</v>
      </c>
      <c r="H189" s="20" t="s">
        <v>333</v>
      </c>
      <c r="I189" s="155"/>
      <c r="J189" s="155">
        <v>187.7</v>
      </c>
      <c r="K189" s="155"/>
      <c r="L189" s="155"/>
      <c r="M189" s="200"/>
      <c r="N189" s="155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</row>
    <row r="190" spans="1:14" ht="33">
      <c r="A190" s="22">
        <v>3111</v>
      </c>
      <c r="B190" s="36">
        <v>60</v>
      </c>
      <c r="C190" s="36">
        <v>921</v>
      </c>
      <c r="D190" s="45">
        <v>70499</v>
      </c>
      <c r="E190" s="20" t="s">
        <v>231</v>
      </c>
      <c r="F190" s="20" t="s">
        <v>389</v>
      </c>
      <c r="G190" s="20" t="s">
        <v>336</v>
      </c>
      <c r="H190" s="20" t="s">
        <v>332</v>
      </c>
      <c r="I190" s="155"/>
      <c r="J190" s="155">
        <v>2348</v>
      </c>
      <c r="K190" s="155"/>
      <c r="L190" s="155">
        <v>3468</v>
      </c>
      <c r="M190" s="196"/>
      <c r="N190" s="156">
        <v>2794.5</v>
      </c>
    </row>
    <row r="191" spans="1:14" ht="16.5">
      <c r="A191" s="22">
        <v>3214</v>
      </c>
      <c r="B191" s="36">
        <v>60</v>
      </c>
      <c r="C191" s="36">
        <v>931</v>
      </c>
      <c r="D191" s="45">
        <v>70499</v>
      </c>
      <c r="E191" s="20" t="s">
        <v>232</v>
      </c>
      <c r="F191" s="20" t="s">
        <v>390</v>
      </c>
      <c r="G191" s="20" t="s">
        <v>336</v>
      </c>
      <c r="H191" s="20" t="s">
        <v>333</v>
      </c>
      <c r="I191" s="155"/>
      <c r="J191" s="155">
        <v>5240</v>
      </c>
      <c r="K191" s="155"/>
      <c r="L191" s="155">
        <v>1240</v>
      </c>
      <c r="M191" s="196"/>
      <c r="N191" s="156"/>
    </row>
    <row r="192" spans="1:14" ht="33">
      <c r="A192" s="22">
        <v>3111</v>
      </c>
      <c r="B192" s="36">
        <v>60</v>
      </c>
      <c r="C192" s="36">
        <v>921</v>
      </c>
      <c r="D192" s="45">
        <v>70499</v>
      </c>
      <c r="E192" s="20" t="s">
        <v>203</v>
      </c>
      <c r="F192" s="20" t="s">
        <v>389</v>
      </c>
      <c r="G192" s="20" t="s">
        <v>336</v>
      </c>
      <c r="H192" s="20" t="s">
        <v>332</v>
      </c>
      <c r="I192" s="155"/>
      <c r="J192" s="155">
        <v>281</v>
      </c>
      <c r="K192" s="155"/>
      <c r="L192" s="155"/>
      <c r="M192" s="196"/>
      <c r="N192" s="156"/>
    </row>
    <row r="193" spans="1:14" ht="33">
      <c r="A193" s="22">
        <v>3111</v>
      </c>
      <c r="B193" s="36">
        <v>60</v>
      </c>
      <c r="C193" s="36">
        <v>921</v>
      </c>
      <c r="D193" s="45">
        <v>70499</v>
      </c>
      <c r="E193" s="20" t="s">
        <v>369</v>
      </c>
      <c r="F193" s="20" t="s">
        <v>390</v>
      </c>
      <c r="G193" s="20" t="s">
        <v>336</v>
      </c>
      <c r="H193" s="20" t="s">
        <v>332</v>
      </c>
      <c r="I193" s="155"/>
      <c r="J193" s="155">
        <v>2245</v>
      </c>
      <c r="K193" s="155"/>
      <c r="L193" s="155">
        <v>655</v>
      </c>
      <c r="M193" s="196"/>
      <c r="N193" s="156"/>
    </row>
    <row r="194" spans="1:14" ht="34.5" customHeight="1">
      <c r="A194" s="22">
        <v>3214</v>
      </c>
      <c r="B194" s="36">
        <v>60</v>
      </c>
      <c r="C194" s="36">
        <v>931</v>
      </c>
      <c r="D194" s="45">
        <v>70499</v>
      </c>
      <c r="E194" s="20" t="s">
        <v>370</v>
      </c>
      <c r="F194" s="20" t="s">
        <v>390</v>
      </c>
      <c r="G194" s="20" t="s">
        <v>336</v>
      </c>
      <c r="H194" s="20" t="s">
        <v>333</v>
      </c>
      <c r="I194" s="155"/>
      <c r="J194" s="155">
        <v>1456</v>
      </c>
      <c r="K194" s="155"/>
      <c r="L194" s="155">
        <v>864</v>
      </c>
      <c r="M194" s="196"/>
      <c r="N194" s="156"/>
    </row>
    <row r="195" spans="1:14" ht="50.25">
      <c r="A195" s="22">
        <v>3111</v>
      </c>
      <c r="B195" s="36">
        <v>60</v>
      </c>
      <c r="C195" s="36">
        <v>921</v>
      </c>
      <c r="D195" s="45">
        <v>70499</v>
      </c>
      <c r="E195" s="20" t="s">
        <v>406</v>
      </c>
      <c r="F195" s="20" t="s">
        <v>404</v>
      </c>
      <c r="G195" s="20" t="s">
        <v>336</v>
      </c>
      <c r="H195" s="20" t="s">
        <v>332</v>
      </c>
      <c r="I195" s="155"/>
      <c r="J195" s="155">
        <v>158</v>
      </c>
      <c r="K195" s="155"/>
      <c r="L195" s="155"/>
      <c r="M195" s="196"/>
      <c r="N195" s="156"/>
    </row>
    <row r="196" spans="1:14" ht="16.5">
      <c r="A196" s="22">
        <v>3111</v>
      </c>
      <c r="B196" s="36">
        <v>60</v>
      </c>
      <c r="C196" s="36">
        <v>931</v>
      </c>
      <c r="D196" s="45">
        <v>70499</v>
      </c>
      <c r="E196" s="20" t="s">
        <v>284</v>
      </c>
      <c r="F196" s="20" t="s">
        <v>390</v>
      </c>
      <c r="G196" s="20" t="s">
        <v>336</v>
      </c>
      <c r="H196" s="20" t="s">
        <v>333</v>
      </c>
      <c r="I196" s="155"/>
      <c r="J196" s="155"/>
      <c r="K196" s="155"/>
      <c r="L196" s="155"/>
      <c r="M196" s="196"/>
      <c r="N196" s="156"/>
    </row>
    <row r="197" spans="1:14" ht="16.5">
      <c r="A197" s="22">
        <v>3111</v>
      </c>
      <c r="B197" s="36">
        <v>60</v>
      </c>
      <c r="C197" s="36">
        <v>921</v>
      </c>
      <c r="D197" s="45">
        <v>70499</v>
      </c>
      <c r="E197" s="20" t="s">
        <v>283</v>
      </c>
      <c r="F197" s="20" t="s">
        <v>389</v>
      </c>
      <c r="G197" s="20" t="s">
        <v>336</v>
      </c>
      <c r="H197" s="20" t="s">
        <v>332</v>
      </c>
      <c r="I197" s="155"/>
      <c r="J197" s="155">
        <v>1430</v>
      </c>
      <c r="K197" s="155"/>
      <c r="L197" s="155">
        <v>768</v>
      </c>
      <c r="M197" s="196"/>
      <c r="N197" s="156"/>
    </row>
    <row r="198" spans="1:14" ht="18" customHeight="1">
      <c r="A198" s="22">
        <v>3214</v>
      </c>
      <c r="B198" s="36">
        <v>60</v>
      </c>
      <c r="C198" s="36">
        <v>931</v>
      </c>
      <c r="D198" s="45">
        <v>70499</v>
      </c>
      <c r="E198" s="20" t="s">
        <v>282</v>
      </c>
      <c r="F198" s="20" t="s">
        <v>390</v>
      </c>
      <c r="G198" s="20" t="s">
        <v>336</v>
      </c>
      <c r="H198" s="20" t="s">
        <v>333</v>
      </c>
      <c r="I198" s="155"/>
      <c r="J198" s="155"/>
      <c r="K198" s="155"/>
      <c r="L198" s="155">
        <v>162</v>
      </c>
      <c r="M198" s="196"/>
      <c r="N198" s="156"/>
    </row>
    <row r="199" spans="1:14" ht="33">
      <c r="A199" s="22">
        <v>3111</v>
      </c>
      <c r="B199" s="36">
        <v>60</v>
      </c>
      <c r="C199" s="36">
        <v>921</v>
      </c>
      <c r="D199" s="45">
        <v>70499</v>
      </c>
      <c r="E199" s="20" t="s">
        <v>414</v>
      </c>
      <c r="F199" s="20" t="s">
        <v>404</v>
      </c>
      <c r="G199" s="20" t="s">
        <v>336</v>
      </c>
      <c r="H199" s="20" t="s">
        <v>332</v>
      </c>
      <c r="I199" s="155"/>
      <c r="J199" s="155">
        <v>520</v>
      </c>
      <c r="K199" s="155"/>
      <c r="L199" s="155">
        <v>2262</v>
      </c>
      <c r="M199" s="200"/>
      <c r="N199" s="155">
        <v>1392</v>
      </c>
    </row>
    <row r="200" spans="1:14" ht="33">
      <c r="A200" s="22">
        <v>3214</v>
      </c>
      <c r="B200" s="36">
        <v>60</v>
      </c>
      <c r="C200" s="36">
        <v>931</v>
      </c>
      <c r="D200" s="45">
        <v>70499</v>
      </c>
      <c r="E200" s="20" t="s">
        <v>186</v>
      </c>
      <c r="F200" s="20" t="s">
        <v>390</v>
      </c>
      <c r="G200" s="20" t="s">
        <v>336</v>
      </c>
      <c r="H200" s="20" t="s">
        <v>333</v>
      </c>
      <c r="I200" s="155"/>
      <c r="J200" s="155">
        <v>264</v>
      </c>
      <c r="K200" s="155"/>
      <c r="L200" s="155">
        <v>986</v>
      </c>
      <c r="M200" s="200"/>
      <c r="N200" s="155">
        <v>754</v>
      </c>
    </row>
    <row r="201" spans="1:14" ht="33">
      <c r="A201" s="22">
        <v>3111</v>
      </c>
      <c r="B201" s="36">
        <v>60</v>
      </c>
      <c r="C201" s="36">
        <v>921</v>
      </c>
      <c r="D201" s="45">
        <v>70499</v>
      </c>
      <c r="E201" s="20" t="s">
        <v>393</v>
      </c>
      <c r="F201" s="20" t="s">
        <v>389</v>
      </c>
      <c r="G201" s="20" t="s">
        <v>336</v>
      </c>
      <c r="H201" s="20" t="s">
        <v>332</v>
      </c>
      <c r="I201" s="155"/>
      <c r="J201" s="155">
        <v>1972</v>
      </c>
      <c r="K201" s="155"/>
      <c r="L201" s="155">
        <v>580</v>
      </c>
      <c r="M201" s="200"/>
      <c r="N201" s="155"/>
    </row>
    <row r="202" spans="1:14" ht="33">
      <c r="A202" s="22">
        <v>3214</v>
      </c>
      <c r="B202" s="36">
        <v>60</v>
      </c>
      <c r="C202" s="36">
        <v>931</v>
      </c>
      <c r="D202" s="45">
        <v>70499</v>
      </c>
      <c r="E202" s="20" t="s">
        <v>455</v>
      </c>
      <c r="F202" s="20" t="s">
        <v>390</v>
      </c>
      <c r="G202" s="20" t="s">
        <v>336</v>
      </c>
      <c r="H202" s="20" t="s">
        <v>333</v>
      </c>
      <c r="I202" s="155"/>
      <c r="J202" s="155">
        <v>986</v>
      </c>
      <c r="K202" s="155"/>
      <c r="L202" s="155">
        <v>174</v>
      </c>
      <c r="M202" s="200"/>
      <c r="N202" s="155"/>
    </row>
    <row r="203" spans="1:14" ht="33">
      <c r="A203" s="22">
        <v>3111</v>
      </c>
      <c r="B203" s="36">
        <v>60</v>
      </c>
      <c r="C203" s="36">
        <v>921</v>
      </c>
      <c r="D203" s="45">
        <v>70499</v>
      </c>
      <c r="E203" s="20" t="s">
        <v>371</v>
      </c>
      <c r="F203" s="20" t="s">
        <v>390</v>
      </c>
      <c r="G203" s="20" t="s">
        <v>336</v>
      </c>
      <c r="H203" s="20" t="s">
        <v>332</v>
      </c>
      <c r="I203" s="155"/>
      <c r="J203" s="155">
        <f>1500*1.16</f>
        <v>1739.9999999999998</v>
      </c>
      <c r="K203" s="155"/>
      <c r="L203" s="155">
        <v>738</v>
      </c>
      <c r="M203" s="200"/>
      <c r="N203" s="155"/>
    </row>
    <row r="204" spans="1:14" ht="33">
      <c r="A204" s="22">
        <v>3214</v>
      </c>
      <c r="B204" s="36">
        <v>60</v>
      </c>
      <c r="C204" s="36">
        <v>931</v>
      </c>
      <c r="D204" s="45">
        <v>70499</v>
      </c>
      <c r="E204" s="20" t="s">
        <v>372</v>
      </c>
      <c r="F204" s="20" t="s">
        <v>390</v>
      </c>
      <c r="G204" s="20" t="s">
        <v>336</v>
      </c>
      <c r="H204" s="20" t="s">
        <v>333</v>
      </c>
      <c r="I204" s="155"/>
      <c r="J204" s="155">
        <v>1044</v>
      </c>
      <c r="K204" s="155"/>
      <c r="L204" s="155">
        <v>443</v>
      </c>
      <c r="M204" s="200"/>
      <c r="N204" s="155"/>
    </row>
    <row r="205" spans="1:14" ht="33">
      <c r="A205" s="22">
        <v>3111</v>
      </c>
      <c r="B205" s="36">
        <v>60</v>
      </c>
      <c r="C205" s="36">
        <v>921</v>
      </c>
      <c r="D205" s="45">
        <v>70499</v>
      </c>
      <c r="E205" s="20" t="s">
        <v>407</v>
      </c>
      <c r="F205" s="20" t="s">
        <v>402</v>
      </c>
      <c r="G205" s="20" t="s">
        <v>336</v>
      </c>
      <c r="H205" s="20" t="s">
        <v>332</v>
      </c>
      <c r="I205" s="155"/>
      <c r="J205" s="155">
        <v>2320</v>
      </c>
      <c r="K205" s="155"/>
      <c r="L205" s="155">
        <v>2900</v>
      </c>
      <c r="M205" s="200"/>
      <c r="N205" s="155">
        <v>435</v>
      </c>
    </row>
    <row r="206" spans="1:14" ht="33">
      <c r="A206" s="22">
        <v>3214</v>
      </c>
      <c r="B206" s="36">
        <v>60</v>
      </c>
      <c r="C206" s="36">
        <v>931</v>
      </c>
      <c r="D206" s="45">
        <v>70499</v>
      </c>
      <c r="E206" s="20" t="s">
        <v>398</v>
      </c>
      <c r="F206" s="20" t="s">
        <v>390</v>
      </c>
      <c r="G206" s="20" t="s">
        <v>336</v>
      </c>
      <c r="H206" s="20" t="s">
        <v>333</v>
      </c>
      <c r="I206" s="155"/>
      <c r="J206" s="155">
        <v>2320</v>
      </c>
      <c r="K206" s="155"/>
      <c r="L206" s="155">
        <v>1450</v>
      </c>
      <c r="M206" s="200"/>
      <c r="N206" s="155">
        <v>261</v>
      </c>
    </row>
    <row r="207" spans="1:14" ht="33">
      <c r="A207" s="22">
        <v>3214</v>
      </c>
      <c r="B207" s="36">
        <v>60</v>
      </c>
      <c r="C207" s="36">
        <v>931</v>
      </c>
      <c r="D207" s="45">
        <v>70499</v>
      </c>
      <c r="E207" s="20" t="s">
        <v>394</v>
      </c>
      <c r="F207" s="20" t="s">
        <v>375</v>
      </c>
      <c r="G207" s="20" t="s">
        <v>336</v>
      </c>
      <c r="H207" s="20" t="s">
        <v>333</v>
      </c>
      <c r="I207" s="155"/>
      <c r="J207" s="155"/>
      <c r="K207" s="155"/>
      <c r="L207" s="155">
        <v>1450</v>
      </c>
      <c r="M207" s="200"/>
      <c r="N207" s="155">
        <v>1160</v>
      </c>
    </row>
    <row r="208" spans="1:14" ht="33">
      <c r="A208" s="22">
        <v>3111</v>
      </c>
      <c r="B208" s="36">
        <v>60</v>
      </c>
      <c r="C208" s="36">
        <v>921</v>
      </c>
      <c r="D208" s="45">
        <v>70499</v>
      </c>
      <c r="E208" s="20" t="s">
        <v>408</v>
      </c>
      <c r="F208" s="20" t="s">
        <v>402</v>
      </c>
      <c r="G208" s="20" t="s">
        <v>336</v>
      </c>
      <c r="H208" s="20" t="s">
        <v>332</v>
      </c>
      <c r="I208" s="155"/>
      <c r="J208" s="155">
        <v>1552</v>
      </c>
      <c r="K208" s="155"/>
      <c r="L208" s="155">
        <v>1696</v>
      </c>
      <c r="M208" s="200"/>
      <c r="N208" s="155"/>
    </row>
    <row r="209" spans="1:14" ht="33">
      <c r="A209" s="22">
        <v>3214</v>
      </c>
      <c r="B209" s="36">
        <v>60</v>
      </c>
      <c r="C209" s="36">
        <v>931</v>
      </c>
      <c r="D209" s="45">
        <v>70499</v>
      </c>
      <c r="E209" s="20" t="s">
        <v>249</v>
      </c>
      <c r="F209" s="20" t="s">
        <v>390</v>
      </c>
      <c r="G209" s="20" t="s">
        <v>336</v>
      </c>
      <c r="H209" s="20" t="s">
        <v>333</v>
      </c>
      <c r="I209" s="155"/>
      <c r="J209" s="155">
        <v>750</v>
      </c>
      <c r="K209" s="155"/>
      <c r="L209" s="155">
        <v>490</v>
      </c>
      <c r="M209" s="200"/>
      <c r="N209" s="155"/>
    </row>
    <row r="210" spans="1:14" ht="33">
      <c r="A210" s="22">
        <v>3214</v>
      </c>
      <c r="B210" s="36">
        <v>60</v>
      </c>
      <c r="C210" s="36">
        <v>931</v>
      </c>
      <c r="D210" s="45">
        <v>70499</v>
      </c>
      <c r="E210" s="20" t="s">
        <v>395</v>
      </c>
      <c r="F210" s="20" t="s">
        <v>375</v>
      </c>
      <c r="G210" s="20" t="s">
        <v>336</v>
      </c>
      <c r="H210" s="20" t="s">
        <v>333</v>
      </c>
      <c r="I210" s="155"/>
      <c r="J210" s="155"/>
      <c r="K210" s="155"/>
      <c r="L210" s="155">
        <f>490+375</f>
        <v>865</v>
      </c>
      <c r="M210" s="200"/>
      <c r="N210" s="155"/>
    </row>
    <row r="211" spans="1:14" ht="33">
      <c r="A211" s="22">
        <v>3111</v>
      </c>
      <c r="B211" s="36">
        <v>60</v>
      </c>
      <c r="C211" s="36">
        <v>921</v>
      </c>
      <c r="D211" s="45">
        <v>70499</v>
      </c>
      <c r="E211" s="20" t="s">
        <v>401</v>
      </c>
      <c r="F211" s="20" t="s">
        <v>402</v>
      </c>
      <c r="G211" s="20" t="s">
        <v>336</v>
      </c>
      <c r="H211" s="20" t="s">
        <v>332</v>
      </c>
      <c r="I211" s="155"/>
      <c r="J211" s="155">
        <v>2113</v>
      </c>
      <c r="K211" s="155"/>
      <c r="L211" s="155">
        <v>1251.5</v>
      </c>
      <c r="M211" s="200"/>
      <c r="N211" s="155"/>
    </row>
    <row r="212" spans="1:14" ht="33">
      <c r="A212" s="22">
        <v>3214</v>
      </c>
      <c r="B212" s="36">
        <v>60</v>
      </c>
      <c r="C212" s="36">
        <v>931</v>
      </c>
      <c r="D212" s="45">
        <v>70499</v>
      </c>
      <c r="E212" s="20" t="s">
        <v>251</v>
      </c>
      <c r="F212" s="20" t="s">
        <v>390</v>
      </c>
      <c r="G212" s="20" t="s">
        <v>336</v>
      </c>
      <c r="H212" s="20" t="s">
        <v>333</v>
      </c>
      <c r="I212" s="155"/>
      <c r="J212" s="155">
        <v>1410</v>
      </c>
      <c r="K212" s="155"/>
      <c r="L212" s="155">
        <v>285</v>
      </c>
      <c r="M212" s="200"/>
      <c r="N212" s="155"/>
    </row>
    <row r="213" spans="1:14" ht="33">
      <c r="A213" s="22">
        <v>3214</v>
      </c>
      <c r="B213" s="36">
        <v>60</v>
      </c>
      <c r="C213" s="36">
        <v>931</v>
      </c>
      <c r="D213" s="45">
        <v>70499</v>
      </c>
      <c r="E213" s="20" t="s">
        <v>396</v>
      </c>
      <c r="F213" s="20" t="s">
        <v>375</v>
      </c>
      <c r="G213" s="20" t="s">
        <v>336</v>
      </c>
      <c r="H213" s="20" t="s">
        <v>333</v>
      </c>
      <c r="I213" s="155"/>
      <c r="J213" s="155"/>
      <c r="K213" s="155"/>
      <c r="L213" s="155">
        <f>390+770</f>
        <v>1160</v>
      </c>
      <c r="M213" s="200"/>
      <c r="N213" s="155"/>
    </row>
    <row r="214" spans="1:14" ht="33">
      <c r="A214" s="22">
        <v>3111</v>
      </c>
      <c r="B214" s="36">
        <v>60</v>
      </c>
      <c r="C214" s="36">
        <v>921</v>
      </c>
      <c r="D214" s="45">
        <v>70499</v>
      </c>
      <c r="E214" s="20" t="s">
        <v>409</v>
      </c>
      <c r="F214" s="20" t="s">
        <v>402</v>
      </c>
      <c r="G214" s="20" t="s">
        <v>336</v>
      </c>
      <c r="H214" s="20" t="s">
        <v>332</v>
      </c>
      <c r="I214" s="155"/>
      <c r="J214" s="155">
        <f>1000*1.16</f>
        <v>1160</v>
      </c>
      <c r="K214" s="155"/>
      <c r="L214" s="155">
        <v>1010</v>
      </c>
      <c r="M214" s="200"/>
      <c r="N214" s="155"/>
    </row>
    <row r="215" spans="1:14" ht="33">
      <c r="A215" s="22">
        <v>3214</v>
      </c>
      <c r="B215" s="36">
        <v>60</v>
      </c>
      <c r="C215" s="36">
        <v>931</v>
      </c>
      <c r="D215" s="45">
        <v>70499</v>
      </c>
      <c r="E215" s="20" t="s">
        <v>253</v>
      </c>
      <c r="F215" s="20" t="s">
        <v>390</v>
      </c>
      <c r="G215" s="20" t="s">
        <v>336</v>
      </c>
      <c r="H215" s="20" t="s">
        <v>333</v>
      </c>
      <c r="I215" s="155"/>
      <c r="J215" s="155">
        <f>1000*1.16</f>
        <v>1160</v>
      </c>
      <c r="K215" s="155"/>
      <c r="L215" s="155">
        <v>383</v>
      </c>
      <c r="M215" s="200"/>
      <c r="N215" s="155"/>
    </row>
    <row r="216" spans="1:14" ht="33">
      <c r="A216" s="22">
        <v>3214</v>
      </c>
      <c r="B216" s="36">
        <v>60</v>
      </c>
      <c r="C216" s="36">
        <v>931</v>
      </c>
      <c r="D216" s="45">
        <v>70499</v>
      </c>
      <c r="E216" s="20" t="s">
        <v>397</v>
      </c>
      <c r="F216" s="20" t="s">
        <v>375</v>
      </c>
      <c r="G216" s="20" t="s">
        <v>336</v>
      </c>
      <c r="H216" s="20" t="s">
        <v>333</v>
      </c>
      <c r="I216" s="155"/>
      <c r="J216" s="155"/>
      <c r="K216" s="155"/>
      <c r="L216" s="155">
        <f>383+969</f>
        <v>1352</v>
      </c>
      <c r="M216" s="200"/>
      <c r="N216" s="155"/>
    </row>
    <row r="217" spans="1:14" ht="33">
      <c r="A217" s="22">
        <v>3111</v>
      </c>
      <c r="B217" s="36">
        <v>60</v>
      </c>
      <c r="C217" s="36">
        <v>921</v>
      </c>
      <c r="D217" s="45">
        <v>70499</v>
      </c>
      <c r="E217" s="20" t="s">
        <v>410</v>
      </c>
      <c r="F217" s="20" t="s">
        <v>402</v>
      </c>
      <c r="G217" s="20" t="s">
        <v>336</v>
      </c>
      <c r="H217" s="20" t="s">
        <v>332</v>
      </c>
      <c r="I217" s="155"/>
      <c r="J217" s="155">
        <f>1000*1.16</f>
        <v>1160</v>
      </c>
      <c r="K217" s="155"/>
      <c r="L217" s="155">
        <v>1160</v>
      </c>
      <c r="M217" s="200"/>
      <c r="N217" s="155"/>
    </row>
    <row r="218" spans="1:14" ht="33">
      <c r="A218" s="22">
        <v>3214</v>
      </c>
      <c r="B218" s="36">
        <v>60</v>
      </c>
      <c r="C218" s="36">
        <v>931</v>
      </c>
      <c r="D218" s="45">
        <v>70499</v>
      </c>
      <c r="E218" s="20" t="s">
        <v>263</v>
      </c>
      <c r="F218" s="20" t="s">
        <v>390</v>
      </c>
      <c r="G218" s="20" t="s">
        <v>336</v>
      </c>
      <c r="H218" s="20" t="s">
        <v>333</v>
      </c>
      <c r="I218" s="155"/>
      <c r="J218" s="155">
        <v>800</v>
      </c>
      <c r="K218" s="155"/>
      <c r="L218" s="155">
        <v>400</v>
      </c>
      <c r="M218" s="200"/>
      <c r="N218" s="155"/>
    </row>
    <row r="219" spans="1:14" ht="33">
      <c r="A219" s="22">
        <v>3111</v>
      </c>
      <c r="B219" s="36">
        <v>60</v>
      </c>
      <c r="C219" s="36">
        <v>921</v>
      </c>
      <c r="D219" s="45">
        <v>70499</v>
      </c>
      <c r="E219" s="20" t="s">
        <v>411</v>
      </c>
      <c r="F219" s="20" t="s">
        <v>402</v>
      </c>
      <c r="G219" s="20" t="s">
        <v>336</v>
      </c>
      <c r="H219" s="20" t="s">
        <v>332</v>
      </c>
      <c r="I219" s="155"/>
      <c r="J219" s="155">
        <v>1160</v>
      </c>
      <c r="K219" s="155"/>
      <c r="L219" s="155">
        <f>1700*1.16</f>
        <v>1971.9999999999998</v>
      </c>
      <c r="M219" s="200"/>
      <c r="N219" s="155">
        <v>1160</v>
      </c>
    </row>
    <row r="220" spans="1:14" ht="33">
      <c r="A220" s="22">
        <v>3214</v>
      </c>
      <c r="B220" s="36">
        <v>60</v>
      </c>
      <c r="C220" s="36">
        <v>931</v>
      </c>
      <c r="D220" s="45">
        <v>70499</v>
      </c>
      <c r="E220" s="20" t="s">
        <v>265</v>
      </c>
      <c r="F220" s="20" t="s">
        <v>390</v>
      </c>
      <c r="G220" s="20" t="s">
        <v>336</v>
      </c>
      <c r="H220" s="20" t="s">
        <v>333</v>
      </c>
      <c r="I220" s="155"/>
      <c r="J220" s="155">
        <v>800</v>
      </c>
      <c r="K220" s="155"/>
      <c r="L220" s="155">
        <v>600</v>
      </c>
      <c r="M220" s="200"/>
      <c r="N220" s="155">
        <v>400</v>
      </c>
    </row>
    <row r="221" spans="1:14" ht="33">
      <c r="A221" s="22">
        <v>3111</v>
      </c>
      <c r="B221" s="36">
        <v>60</v>
      </c>
      <c r="C221" s="36">
        <v>921</v>
      </c>
      <c r="D221" s="45">
        <v>70499</v>
      </c>
      <c r="E221" s="20" t="s">
        <v>412</v>
      </c>
      <c r="F221" s="20" t="s">
        <v>402</v>
      </c>
      <c r="G221" s="20" t="s">
        <v>336</v>
      </c>
      <c r="H221" s="20" t="s">
        <v>332</v>
      </c>
      <c r="I221" s="155"/>
      <c r="J221" s="155">
        <v>1740</v>
      </c>
      <c r="K221" s="155"/>
      <c r="L221" s="155">
        <v>1740</v>
      </c>
      <c r="M221" s="200"/>
      <c r="N221" s="155">
        <v>1160</v>
      </c>
    </row>
    <row r="222" spans="1:14" ht="33">
      <c r="A222" s="22">
        <v>3214</v>
      </c>
      <c r="B222" s="36">
        <v>60</v>
      </c>
      <c r="C222" s="36">
        <v>931</v>
      </c>
      <c r="D222" s="45">
        <v>70499</v>
      </c>
      <c r="E222" s="20" t="s">
        <v>399</v>
      </c>
      <c r="F222" s="20" t="s">
        <v>390</v>
      </c>
      <c r="G222" s="20" t="s">
        <v>336</v>
      </c>
      <c r="H222" s="20" t="s">
        <v>333</v>
      </c>
      <c r="I222" s="155"/>
      <c r="J222" s="155">
        <v>1200</v>
      </c>
      <c r="K222" s="155"/>
      <c r="L222" s="155">
        <v>1160</v>
      </c>
      <c r="M222" s="200"/>
      <c r="N222" s="155">
        <v>1160</v>
      </c>
    </row>
    <row r="223" spans="1:14" ht="33">
      <c r="A223" s="22">
        <v>3111</v>
      </c>
      <c r="B223" s="36">
        <v>60</v>
      </c>
      <c r="C223" s="36">
        <v>921</v>
      </c>
      <c r="D223" s="45">
        <v>70499</v>
      </c>
      <c r="E223" s="20" t="s">
        <v>413</v>
      </c>
      <c r="F223" s="20" t="s">
        <v>402</v>
      </c>
      <c r="G223" s="20" t="s">
        <v>336</v>
      </c>
      <c r="H223" s="20" t="s">
        <v>332</v>
      </c>
      <c r="I223" s="155"/>
      <c r="J223" s="155">
        <v>1740</v>
      </c>
      <c r="K223" s="155"/>
      <c r="L223" s="155">
        <v>1160</v>
      </c>
      <c r="M223" s="200"/>
      <c r="N223" s="155">
        <v>232</v>
      </c>
    </row>
    <row r="224" spans="1:14" ht="33">
      <c r="A224" s="22">
        <v>3214</v>
      </c>
      <c r="B224" s="36">
        <v>60</v>
      </c>
      <c r="C224" s="36">
        <v>931</v>
      </c>
      <c r="D224" s="45">
        <v>70499</v>
      </c>
      <c r="E224" s="20" t="s">
        <v>400</v>
      </c>
      <c r="F224" s="20" t="s">
        <v>390</v>
      </c>
      <c r="G224" s="20" t="s">
        <v>336</v>
      </c>
      <c r="H224" s="20" t="s">
        <v>333</v>
      </c>
      <c r="I224" s="155"/>
      <c r="J224" s="155">
        <v>1000</v>
      </c>
      <c r="K224" s="155"/>
      <c r="L224" s="155">
        <v>210</v>
      </c>
      <c r="M224" s="200"/>
      <c r="N224" s="155"/>
    </row>
    <row r="225" spans="1:14" ht="16.5">
      <c r="A225" s="22">
        <v>3111</v>
      </c>
      <c r="B225" s="36">
        <v>60</v>
      </c>
      <c r="C225" s="36">
        <v>931</v>
      </c>
      <c r="D225" s="45">
        <v>70989</v>
      </c>
      <c r="E225" s="20" t="s">
        <v>335</v>
      </c>
      <c r="F225" s="20" t="s">
        <v>379</v>
      </c>
      <c r="G225" s="20" t="s">
        <v>336</v>
      </c>
      <c r="H225" s="20" t="s">
        <v>333</v>
      </c>
      <c r="I225" s="155"/>
      <c r="J225" s="155">
        <v>13500</v>
      </c>
      <c r="K225" s="155"/>
      <c r="L225" s="155">
        <v>11500</v>
      </c>
      <c r="M225" s="200"/>
      <c r="N225" s="155"/>
    </row>
    <row r="226" spans="2:14" ht="16.5">
      <c r="B226" s="36"/>
      <c r="C226" s="36"/>
      <c r="D226" s="45"/>
      <c r="E226" s="20"/>
      <c r="F226" s="20"/>
      <c r="G226" s="20"/>
      <c r="H226" s="20"/>
      <c r="I226" s="155"/>
      <c r="J226" s="155"/>
      <c r="K226" s="155"/>
      <c r="L226" s="155"/>
      <c r="M226" s="200"/>
      <c r="N226" s="155"/>
    </row>
    <row r="227" spans="2:14" ht="33">
      <c r="B227" s="36"/>
      <c r="C227" s="36"/>
      <c r="D227" s="45"/>
      <c r="E227" s="80" t="s">
        <v>349</v>
      </c>
      <c r="F227" s="80"/>
      <c r="G227" s="20"/>
      <c r="H227" s="20"/>
      <c r="I227" s="155"/>
      <c r="J227" s="152">
        <f>J228</f>
        <v>1750</v>
      </c>
      <c r="K227" s="152"/>
      <c r="L227" s="152">
        <f>L228</f>
        <v>3248.6</v>
      </c>
      <c r="M227" s="200"/>
      <c r="N227" s="155"/>
    </row>
    <row r="228" spans="2:14" ht="16.5">
      <c r="B228" s="36"/>
      <c r="C228" s="36"/>
      <c r="D228" s="45"/>
      <c r="E228" s="79" t="s">
        <v>313</v>
      </c>
      <c r="F228" s="79"/>
      <c r="G228" s="20"/>
      <c r="H228" s="20"/>
      <c r="I228" s="155"/>
      <c r="J228" s="153">
        <f>SUM(J229:J230)</f>
        <v>1750</v>
      </c>
      <c r="K228" s="153">
        <f>SUM(K229:K230)</f>
        <v>0</v>
      </c>
      <c r="L228" s="153">
        <f>SUM(L229:L230)</f>
        <v>3248.6</v>
      </c>
      <c r="M228" s="200"/>
      <c r="N228" s="155"/>
    </row>
    <row r="229" spans="1:15" ht="16.5">
      <c r="A229" s="22">
        <v>3111</v>
      </c>
      <c r="B229" s="40"/>
      <c r="C229" s="40">
        <v>920</v>
      </c>
      <c r="D229" s="40">
        <v>70499</v>
      </c>
      <c r="E229" s="19" t="s">
        <v>98</v>
      </c>
      <c r="F229" s="19"/>
      <c r="G229" s="20" t="s">
        <v>365</v>
      </c>
      <c r="H229" s="20" t="s">
        <v>332</v>
      </c>
      <c r="I229" s="155"/>
      <c r="J229" s="155">
        <v>750</v>
      </c>
      <c r="K229" s="155"/>
      <c r="L229" s="155">
        <v>679.5</v>
      </c>
      <c r="M229" s="200"/>
      <c r="N229" s="155"/>
      <c r="O229" s="22">
        <v>-159</v>
      </c>
    </row>
    <row r="230" spans="1:15" ht="16.5">
      <c r="A230" s="22">
        <v>3214</v>
      </c>
      <c r="B230" s="40"/>
      <c r="C230" s="40">
        <v>930</v>
      </c>
      <c r="D230" s="40">
        <v>70499</v>
      </c>
      <c r="E230" s="20" t="s">
        <v>99</v>
      </c>
      <c r="F230" s="20"/>
      <c r="G230" s="20" t="s">
        <v>365</v>
      </c>
      <c r="H230" s="20" t="s">
        <v>333</v>
      </c>
      <c r="I230" s="155"/>
      <c r="J230" s="155">
        <v>1000</v>
      </c>
      <c r="K230" s="155"/>
      <c r="L230" s="155">
        <v>2569.1</v>
      </c>
      <c r="M230" s="200"/>
      <c r="N230" s="155"/>
      <c r="O230" s="22">
        <v>-880</v>
      </c>
    </row>
    <row r="231" spans="2:14" ht="16.5">
      <c r="B231" s="36"/>
      <c r="C231" s="36"/>
      <c r="D231" s="45"/>
      <c r="E231" s="20"/>
      <c r="F231" s="20"/>
      <c r="G231" s="20"/>
      <c r="H231" s="20"/>
      <c r="I231" s="155"/>
      <c r="J231" s="155"/>
      <c r="K231" s="155"/>
      <c r="L231" s="155"/>
      <c r="M231" s="200"/>
      <c r="N231" s="155"/>
    </row>
    <row r="232" spans="2:14" ht="33">
      <c r="B232" s="36"/>
      <c r="C232" s="36"/>
      <c r="D232" s="45"/>
      <c r="E232" s="80" t="s">
        <v>308</v>
      </c>
      <c r="F232" s="80"/>
      <c r="G232" s="80"/>
      <c r="H232" s="80"/>
      <c r="I232" s="152">
        <f aca="true" t="shared" si="12" ref="I232:N232">I233</f>
        <v>60</v>
      </c>
      <c r="J232" s="152">
        <f t="shared" si="12"/>
        <v>600</v>
      </c>
      <c r="K232" s="152">
        <f t="shared" si="12"/>
        <v>60</v>
      </c>
      <c r="L232" s="152">
        <f t="shared" si="12"/>
        <v>600</v>
      </c>
      <c r="M232" s="152">
        <f t="shared" si="12"/>
        <v>100</v>
      </c>
      <c r="N232" s="152">
        <f t="shared" si="12"/>
        <v>1466.3</v>
      </c>
    </row>
    <row r="233" spans="2:14" ht="16.5">
      <c r="B233" s="36"/>
      <c r="C233" s="36"/>
      <c r="D233" s="45"/>
      <c r="E233" s="79" t="s">
        <v>313</v>
      </c>
      <c r="F233" s="79"/>
      <c r="G233" s="79"/>
      <c r="H233" s="79"/>
      <c r="I233" s="153">
        <f>I234</f>
        <v>60</v>
      </c>
      <c r="J233" s="153">
        <f>SUM(J235)</f>
        <v>600</v>
      </c>
      <c r="K233" s="153">
        <f>K234</f>
        <v>60</v>
      </c>
      <c r="L233" s="153">
        <f>SUM(L235)</f>
        <v>600</v>
      </c>
      <c r="M233" s="153">
        <f>M234</f>
        <v>100</v>
      </c>
      <c r="N233" s="153">
        <f>SUM(N235)</f>
        <v>1466.3</v>
      </c>
    </row>
    <row r="234" spans="1:14" ht="16.5">
      <c r="A234" s="22">
        <v>3111</v>
      </c>
      <c r="B234" s="36">
        <v>75</v>
      </c>
      <c r="C234" s="36">
        <v>910</v>
      </c>
      <c r="D234" s="45">
        <v>70499</v>
      </c>
      <c r="E234" s="20" t="s">
        <v>326</v>
      </c>
      <c r="F234" s="79"/>
      <c r="G234" s="20" t="s">
        <v>366</v>
      </c>
      <c r="H234" s="20" t="s">
        <v>417</v>
      </c>
      <c r="I234" s="155">
        <v>60</v>
      </c>
      <c r="J234" s="153"/>
      <c r="K234" s="155">
        <v>60</v>
      </c>
      <c r="L234" s="153"/>
      <c r="M234" s="200">
        <v>100</v>
      </c>
      <c r="N234" s="153"/>
    </row>
    <row r="235" spans="1:14" ht="16.5">
      <c r="A235" s="22">
        <v>3111</v>
      </c>
      <c r="B235" s="36">
        <v>75</v>
      </c>
      <c r="C235" s="36">
        <v>920</v>
      </c>
      <c r="D235" s="45">
        <v>70499</v>
      </c>
      <c r="E235" s="20" t="s">
        <v>303</v>
      </c>
      <c r="F235" s="20"/>
      <c r="G235" s="20" t="s">
        <v>366</v>
      </c>
      <c r="H235" s="20" t="s">
        <v>332</v>
      </c>
      <c r="I235" s="155"/>
      <c r="J235" s="155">
        <v>600</v>
      </c>
      <c r="K235" s="155"/>
      <c r="L235" s="155">
        <v>600</v>
      </c>
      <c r="M235" s="200"/>
      <c r="N235" s="155">
        <v>1466.3</v>
      </c>
    </row>
    <row r="236" spans="2:14" ht="16.5">
      <c r="B236" s="36"/>
      <c r="C236" s="36"/>
      <c r="D236" s="45"/>
      <c r="E236" s="20"/>
      <c r="F236" s="20"/>
      <c r="G236" s="20"/>
      <c r="H236" s="20"/>
      <c r="I236" s="155"/>
      <c r="J236" s="155"/>
      <c r="K236" s="155"/>
      <c r="L236" s="155"/>
      <c r="M236" s="200"/>
      <c r="N236" s="155"/>
    </row>
    <row r="237" spans="2:17" ht="18" customHeight="1">
      <c r="B237" s="72"/>
      <c r="C237" s="72"/>
      <c r="D237" s="72"/>
      <c r="E237" s="73" t="s">
        <v>13</v>
      </c>
      <c r="F237" s="73"/>
      <c r="G237" s="73"/>
      <c r="H237" s="73"/>
      <c r="I237" s="152">
        <f>I15+I24+I30+I43+I56+I72+I104+I182+I149+I111+I232</f>
        <v>18142.6</v>
      </c>
      <c r="J237" s="152">
        <f>J15+J24+J30+J43+J56+J72+J104+J182+J149+J177+J111+J232+J144+J227</f>
        <v>463169.69999999995</v>
      </c>
      <c r="K237" s="152">
        <f>K15+K24+K30+K43+K56+K72+K104+K182+K149+K111+K232</f>
        <v>21552.5</v>
      </c>
      <c r="L237" s="152">
        <f>L15+L24+L30+L43+L56+L72+L104+L182+L149+L177+L111+L232+L144+L227</f>
        <v>462139.5</v>
      </c>
      <c r="M237" s="152">
        <f>M15+M24+M30+M43+M56+M72+M104+M182+M149+M111+M232</f>
        <v>9988.4</v>
      </c>
      <c r="N237" s="152">
        <f>N15+N24+N30+N43+N56+N72+N104+N182+N149+N177+N111+N232+N144+N227</f>
        <v>270041.56</v>
      </c>
      <c r="Q237" s="205"/>
    </row>
    <row r="238" spans="2:18" ht="18" customHeight="1">
      <c r="B238" s="46"/>
      <c r="C238" s="46"/>
      <c r="D238" s="46"/>
      <c r="E238" s="25"/>
      <c r="F238" s="25"/>
      <c r="G238" s="25"/>
      <c r="H238" s="25"/>
      <c r="I238" s="206"/>
      <c r="K238" s="206"/>
      <c r="L238" s="206"/>
      <c r="M238" s="206"/>
      <c r="N238" s="155"/>
      <c r="R238" s="205"/>
    </row>
    <row r="239" spans="2:17" ht="18" customHeight="1">
      <c r="B239" s="46"/>
      <c r="C239" s="46"/>
      <c r="D239" s="46"/>
      <c r="E239" s="26" t="s">
        <v>14</v>
      </c>
      <c r="F239" s="26"/>
      <c r="G239" s="26"/>
      <c r="H239" s="26"/>
      <c r="I239" s="158"/>
      <c r="J239" s="158">
        <f>J20+J28+J39+J52+J54+J61+J64+J66+J68+J75+J76+J78+J80+J81+J83+J84+J85+J86+J89+J91+J94+J95+J96+J99+J101+J107+J109+J116+J121+J122+J123+J124+J125+J126+J127+J130+J131+J134+J136+J138+J140+J142+J147+J152+J155+J158+J162+J165+J166+J169+J172+J174+J180+J185+J187+J191+J194+J196+J198+J200+J202+J204+J206+J207+J209+J210+J212+J213+J215+J216+J218+J220+J222+J224+J225+J230+J22+J70+J34+J189+J119</f>
        <v>327145.1</v>
      </c>
      <c r="K239" s="158"/>
      <c r="L239" s="158">
        <f>L20+L28+L39+L52+L54+L61+L64+L66+L68+L75+L76+L78+L80+L81+L83+L84+L85+L86+L89+L91+L94+L95+L96+L99+L101+L107+L109+L116+L121+L122+L123+L124+L125+L126+L127+L130+L131+L134+L136+L138+L140+L142+L147+L152+L155+L158+L162+L165+L166+L169+L172+L174+L180+L185+L187+L191+L194+L196+L198+L200+L202+L204+L206+L207+L209+L210+L212+L213+L215+L216+L218+L220+L222+L224+L225+L230+L22+L70+L34+L189+L119</f>
        <v>325024.49999999994</v>
      </c>
      <c r="M239" s="207"/>
      <c r="N239" s="158">
        <f>N20+N28+N39+N52+N54+N61+N64+N66+N68+N75+N76+N78+N80+N81+N83+N84+N85+N86+N89+N91+N94+N95+N96+N99+N101+N107+N109+N116+N121+N122+N123+N124+N125+N126+N127+N130+N131+N134+N136+N138+N140+N142+N147+N152+N155+N158+N162+N165+N166+N169+N172+N174+N180+N185+N187+N191+N194+N196+N198+N200+N202+N204+N206+N207+N209+N210+N212+N213+N215+N216+N218+N220+N222+N224+N225+N230+N22+N70+N34+N189+N119</f>
        <v>187095.2</v>
      </c>
      <c r="O239" s="158">
        <f>J239*69.8</f>
        <v>22834727.979999997</v>
      </c>
      <c r="P239" s="205"/>
      <c r="Q239" s="158">
        <f>L239*70.5</f>
        <v>22914227.249999996</v>
      </c>
    </row>
    <row r="240" spans="2:17" ht="18" customHeight="1">
      <c r="B240" s="46"/>
      <c r="C240" s="46"/>
      <c r="D240" s="46"/>
      <c r="E240" s="26" t="s">
        <v>15</v>
      </c>
      <c r="F240" s="26"/>
      <c r="G240" s="26"/>
      <c r="H240" s="26"/>
      <c r="I240" s="158"/>
      <c r="J240" s="158">
        <f>J27+J114+J115+J118+J120+J129+J32+J36+J38+J46+J47+J49+J51+J59+J60+J65+J88+J93+J98+J106+J151+J153+J157+J168+J179+J184+J186+J190+J193+J195+J197+J199+J201+J203+J205+J208+J211+J235+J214+J217+J45+J63+J102+J108+J133+J146+J171+J175+J192+J219+J221+J223+J18+J19+J41+J135+J137+J139+J141+J160+J161+J164+J229+J21+J69+J33+J188+J117</f>
        <v>136024.60000000003</v>
      </c>
      <c r="K240" s="158"/>
      <c r="L240" s="158">
        <f>L27+L114+L115+L118+L120+L129+L32+L36+L38+L46+L47+L49+L51+L59+L60+L65+L88+L93+L98+L106+L151+L153+L157+L168+L179+L184+L186+L190+L193+L195+L197+L199+L201+L203+L205+L208+L211+L235+L214+L217+L45+L63+L102+L108+L133+L146+L171+L175+L192+L219+L221+L223+L18+L19+L41+L135+L137+L139+L141+L160+L161+L164+L229+L21+L69+L33+L188+L117</f>
        <v>137115</v>
      </c>
      <c r="M240" s="207"/>
      <c r="N240" s="158">
        <f>N27+N114+N115+N118+N120+N129+N32+N36+N38+N46+N47+N49+N51+N59+N60+N65+N88+N93+N98+N106+N151+N153+N157+N168+N179+N184+N186+N190+N193+N195+N197+N199+N201+N203+N205+N208+N211+N235+N214+N217+N45+N63+N102+N108+N133+N146+N171+N175+N192+N219+N221+N223+N18+N19+N41+N135+N137+N139+N141+N160+N161+N164+N229+N21+N69+N33+N188+N117</f>
        <v>82946.36</v>
      </c>
      <c r="O240" s="158">
        <f>J240*69.8</f>
        <v>9494517.080000002</v>
      </c>
      <c r="P240" s="205"/>
      <c r="Q240" s="158">
        <f aca="true" t="shared" si="13" ref="Q240:Q247">L240*70.5</f>
        <v>9666607.5</v>
      </c>
    </row>
    <row r="241" spans="2:17" ht="18" customHeight="1">
      <c r="B241" s="46"/>
      <c r="C241" s="46"/>
      <c r="D241" s="46"/>
      <c r="E241" s="27"/>
      <c r="F241" s="27"/>
      <c r="G241" s="27"/>
      <c r="H241" s="27"/>
      <c r="I241" s="208"/>
      <c r="J241" s="208"/>
      <c r="K241" s="208"/>
      <c r="L241" s="208"/>
      <c r="M241" s="208"/>
      <c r="N241" s="159"/>
      <c r="O241" s="158">
        <f aca="true" t="shared" si="14" ref="O241:O247">J241*69.8</f>
        <v>0</v>
      </c>
      <c r="Q241" s="158">
        <f t="shared" si="13"/>
        <v>0</v>
      </c>
    </row>
    <row r="242" spans="1:17" ht="18" customHeight="1">
      <c r="A242" s="270">
        <v>3214</v>
      </c>
      <c r="B242" s="271"/>
      <c r="C242" s="271"/>
      <c r="D242" s="272"/>
      <c r="E242" s="26" t="s">
        <v>82</v>
      </c>
      <c r="F242" s="26"/>
      <c r="G242" s="26"/>
      <c r="H242" s="26"/>
      <c r="I242" s="159"/>
      <c r="J242" s="158">
        <f>J20+J66+J116+J121+J122+J123+J124+J125+J126+J127+J130+J134+J136+J138+J140+J142+J185+J187+J191+J194+J198+J200+J202+J204+J206+J207+J209+J210+J212+J213+J215+J216+J218+J220+J222+J224+J230+J22+J119+J189</f>
        <v>126862</v>
      </c>
      <c r="K242" s="159"/>
      <c r="L242" s="158">
        <f>L20+L66+L116+L121+L122+L123+L124+L125+L126+L127+L130+L134+L136+L138+L140+L142+L185+L187+L191+L194+L198+L200+L202+L204+L206+L207+L209+L210+L212+L213+L215+L216+L218+L220+L222+L224+L230+L22+L119+L189</f>
        <v>162685.2</v>
      </c>
      <c r="M242" s="209"/>
      <c r="N242" s="158">
        <f>N20+N66+N116+N121+N122+N123+N124+N125+N126+N127+N130+N134+N136+N138+N140+N142+N185+N187+N191+N194+N198+N200+N202+N204+N206+N207+N209+N210+N212+N213+N215+N216+N218+N220+N222+N224+N230+N22+N119+N189</f>
        <v>83959.1</v>
      </c>
      <c r="O242" s="158">
        <f t="shared" si="14"/>
        <v>8854967.6</v>
      </c>
      <c r="Q242" s="158">
        <f t="shared" si="13"/>
        <v>11469306.600000001</v>
      </c>
    </row>
    <row r="243" spans="1:17" ht="18" customHeight="1">
      <c r="A243" s="273"/>
      <c r="B243" s="274"/>
      <c r="C243" s="274"/>
      <c r="D243" s="275"/>
      <c r="E243" s="26" t="s">
        <v>83</v>
      </c>
      <c r="F243" s="26"/>
      <c r="G243" s="26"/>
      <c r="H243" s="26"/>
      <c r="I243" s="159"/>
      <c r="J243" s="158">
        <f>J19+J115+J120+J133+J135+J137+J139+J141+J117</f>
        <v>25962.4</v>
      </c>
      <c r="K243" s="159"/>
      <c r="L243" s="158">
        <f>L19+L115+L120+L133+L135+L137+L139+L141+L117</f>
        <v>20971.8</v>
      </c>
      <c r="M243" s="209"/>
      <c r="N243" s="158">
        <f>N19+N115+N120+N133+N135+N137+N139+N141+N117</f>
        <v>10566.6</v>
      </c>
      <c r="O243" s="158">
        <f t="shared" si="14"/>
        <v>1812175.52</v>
      </c>
      <c r="Q243" s="158">
        <f t="shared" si="13"/>
        <v>1478511.9</v>
      </c>
    </row>
    <row r="244" spans="1:17" ht="18" customHeight="1">
      <c r="A244" s="276"/>
      <c r="B244" s="277"/>
      <c r="C244" s="277"/>
      <c r="D244" s="278"/>
      <c r="E244" s="26" t="s">
        <v>84</v>
      </c>
      <c r="F244" s="26"/>
      <c r="G244" s="26"/>
      <c r="H244" s="26"/>
      <c r="I244" s="159"/>
      <c r="J244" s="152">
        <f>J242+J243</f>
        <v>152824.4</v>
      </c>
      <c r="K244" s="159"/>
      <c r="L244" s="152">
        <f>L242+L243</f>
        <v>183657</v>
      </c>
      <c r="M244" s="209"/>
      <c r="N244" s="152">
        <f>N242+N243</f>
        <v>94525.70000000001</v>
      </c>
      <c r="O244" s="158">
        <f t="shared" si="14"/>
        <v>10667143.12</v>
      </c>
      <c r="Q244" s="158">
        <f t="shared" si="13"/>
        <v>12947818.5</v>
      </c>
    </row>
    <row r="245" spans="1:17" ht="18" customHeight="1">
      <c r="A245" s="270">
        <v>3111</v>
      </c>
      <c r="B245" s="271"/>
      <c r="C245" s="271"/>
      <c r="D245" s="272"/>
      <c r="E245" s="26" t="s">
        <v>85</v>
      </c>
      <c r="F245" s="26"/>
      <c r="G245" s="26"/>
      <c r="H245" s="26"/>
      <c r="I245" s="152"/>
      <c r="J245" s="158">
        <f>J28+J39+J52+J54+J61+J64+J68+J75+J76+J78+J80+J81+J83+J84+J85+J86+J89+J91+J94+J96+J99+J101+J107+J109+J147+J152+J155+J158+J162+J165+J166+J169+J172+J174+J180+J196+J225+J95+J131+J70+J34</f>
        <v>200283.09999999998</v>
      </c>
      <c r="K245" s="152"/>
      <c r="L245" s="158">
        <f>L28+L39+L52+L54+L61+L64+L68+L75+L76+L78+L80+L81+L83+L84+L85+L86+L89+L91+L94+L96+L99+L101+L107+L109+L147+L152+L155+L158+L162+L165+L166+L169+L172+L174+L180+L196+L225+L95+L131+L70+L34</f>
        <v>162339.3</v>
      </c>
      <c r="M245" s="198"/>
      <c r="N245" s="158">
        <f>N28+N39+N52+N54+N61+N64+N68+N75+N76+N78+N80+N81+N83+N84+N85+N86+N89+N91+N94+N96+N99+N101+N107+N109+N147+N152+N155+N158+N162+N165+N166+N169+N172+N174+N180+N196+N225+N95+N131+N70+N34</f>
        <v>103136.10000000002</v>
      </c>
      <c r="O245" s="158">
        <f t="shared" si="14"/>
        <v>13979760.379999997</v>
      </c>
      <c r="Q245" s="158">
        <f t="shared" si="13"/>
        <v>11444920.649999999</v>
      </c>
    </row>
    <row r="246" spans="1:17" ht="18" customHeight="1">
      <c r="A246" s="273"/>
      <c r="B246" s="274"/>
      <c r="C246" s="274"/>
      <c r="D246" s="275"/>
      <c r="E246" s="28" t="s">
        <v>86</v>
      </c>
      <c r="F246" s="28"/>
      <c r="G246" s="28"/>
      <c r="H246" s="28"/>
      <c r="I246" s="152"/>
      <c r="J246" s="158">
        <f>J18+J27+J36+J38+J41+J45+J46+J47+J49+J51+J59+J60+J63+J65+J88+J93+J98+J102+J106+J108+J114+J118+J129+J146+J153+J157+J160+J161+J164+J168+J171+J175+J179+J184+J186+J190+J192+J193+J195+J197+J199+J201+J203+J205+J208+J211+J214+J217+J219+J221+J223+J229+J235+J69+J21+J151+J188+J33</f>
        <v>110062.20000000001</v>
      </c>
      <c r="K246" s="152"/>
      <c r="L246" s="158">
        <f>L18+L27+L36+L38+L41+L45+L46+L47+L49+L51+L59+L60+L63+L65+L88+L93+L98+L102+L106+L108+L114+L118+L129+L146+L153+L157+L160+L161+L164+L168+L171+L175+L179+L184+L186+L190+L192+L193+L195+L197+L199+L201+L203+L205+L208+L211+L214+L217+L219+L221+L223+L229+L235+L69+L21+L151+L188+L33</f>
        <v>116143.19999999998</v>
      </c>
      <c r="M246" s="198"/>
      <c r="N246" s="158">
        <f>N18+N27+N36+N38+N41+N45+N46+N47+N49+N51+N59+N60+N63+N65+N88+N93+N98+N102+N106+N108+N114+N118+N129+N146+N153+N157+N160+N161+N164+N168+N171+N175+N179+N184+N186+N190+N192+N193+N195+N197+N199+N201+N203+N205+N208+N211+N214+N217+N219+N221+N223+N229+N235+N69+N21+N151+N188+N33</f>
        <v>72379.76</v>
      </c>
      <c r="O246" s="158">
        <f t="shared" si="14"/>
        <v>7682341.5600000005</v>
      </c>
      <c r="P246" s="205"/>
      <c r="Q246" s="158">
        <f t="shared" si="13"/>
        <v>8188095.599999999</v>
      </c>
    </row>
    <row r="247" spans="1:17" ht="18" customHeight="1">
      <c r="A247" s="276"/>
      <c r="B247" s="277"/>
      <c r="C247" s="277"/>
      <c r="D247" s="278"/>
      <c r="E247" s="28" t="s">
        <v>87</v>
      </c>
      <c r="F247" s="28"/>
      <c r="G247" s="28"/>
      <c r="H247" s="28"/>
      <c r="I247" s="152">
        <f>I15+I24+I30+I43+I56+I72+I111+I149+I232</f>
        <v>18142.6</v>
      </c>
      <c r="J247" s="152">
        <f>J245+J246</f>
        <v>310345.3</v>
      </c>
      <c r="K247" s="152">
        <f>K15+K24+K30+K43+K56+K72+K111+K149+K232</f>
        <v>21552.5</v>
      </c>
      <c r="L247" s="152">
        <f>L245+L246</f>
        <v>278482.5</v>
      </c>
      <c r="M247" s="152">
        <f>M15+M24+M30+M43+M56+M72+M111+M149+M232</f>
        <v>9988.4</v>
      </c>
      <c r="N247" s="152">
        <f>N245+N246</f>
        <v>175515.86000000002</v>
      </c>
      <c r="O247" s="158">
        <f t="shared" si="14"/>
        <v>21662101.939999998</v>
      </c>
      <c r="Q247" s="158">
        <f t="shared" si="13"/>
        <v>19633016.25</v>
      </c>
    </row>
    <row r="248" spans="9:14" ht="16.5">
      <c r="I248" s="205"/>
      <c r="J248" s="205"/>
      <c r="K248" s="205"/>
      <c r="L248" s="205"/>
      <c r="M248" s="210"/>
      <c r="N248" s="210"/>
    </row>
    <row r="249" spans="5:14" ht="16.5">
      <c r="E249" s="202"/>
      <c r="F249" s="202"/>
      <c r="G249" s="202"/>
      <c r="H249" s="202"/>
      <c r="I249" s="212"/>
      <c r="J249" s="212"/>
      <c r="K249" s="202"/>
      <c r="L249" s="202"/>
      <c r="M249" s="211"/>
      <c r="N249" s="211"/>
    </row>
    <row r="250" spans="5:14" ht="16.5">
      <c r="E250" s="202"/>
      <c r="F250" s="202"/>
      <c r="G250" s="202"/>
      <c r="H250" s="202"/>
      <c r="I250" s="212"/>
      <c r="J250" s="212"/>
      <c r="K250" s="202"/>
      <c r="L250" s="212"/>
      <c r="M250" s="211"/>
      <c r="N250" s="211"/>
    </row>
    <row r="251" ht="16.5">
      <c r="J251" s="205"/>
    </row>
    <row r="252" spans="5:15" ht="28.5" customHeight="1">
      <c r="E252" s="26" t="s">
        <v>418</v>
      </c>
      <c r="J252" s="205">
        <f>J18+J19+J45+J46+J47+J49+J51+J52+J54+J76+J81+J83+J84+J85+J86+J95+J96+J101+J102+J118+J153+J190+J192+J197+J201+J225</f>
        <v>158208.80000000002</v>
      </c>
      <c r="K252" s="22">
        <f>J252*69.8</f>
        <v>11042974.24</v>
      </c>
      <c r="L252" s="205">
        <f>L18+L19+L45+L46+L47+L49+L51+L52+L54+L76+L81+L83+L84+L85+L86+L95+L96+L101+L102+L118+L153+L190+L192+L197+L201+L225</f>
        <v>100682.00000000001</v>
      </c>
      <c r="M252" s="29">
        <f>L252*70.5</f>
        <v>7098081.000000001</v>
      </c>
      <c r="N252" s="205">
        <f>N18+N19+N45+N46+N47+N49+N51+N52+N54+N76+N81+N83+N84+N85+N86++N95+N96+N101+N102+N118+N153+N190+N192+N197+N201+N225</f>
        <v>59980.159999999996</v>
      </c>
      <c r="O252" s="22">
        <f>N252*71.2</f>
        <v>4270587.392</v>
      </c>
    </row>
    <row r="253" ht="16.5">
      <c r="E253" s="26"/>
    </row>
    <row r="254" spans="5:15" ht="45.75" customHeight="1">
      <c r="E254" s="26" t="s">
        <v>419</v>
      </c>
      <c r="J254" s="205">
        <f>J237-J252</f>
        <v>304960.8999999999</v>
      </c>
      <c r="K254" s="22">
        <f>J254*69.8</f>
        <v>21286270.819999993</v>
      </c>
      <c r="L254" s="205">
        <f>L237-L252</f>
        <v>361457.5</v>
      </c>
      <c r="M254" s="29">
        <f>L254*70.5</f>
        <v>25482753.75</v>
      </c>
      <c r="N254" s="205">
        <f>N237-N252</f>
        <v>210061.4</v>
      </c>
      <c r="O254" s="22">
        <f>N254*71.2</f>
        <v>14956371.68</v>
      </c>
    </row>
  </sheetData>
  <sheetProtection/>
  <mergeCells count="10">
    <mergeCell ref="A242:D244"/>
    <mergeCell ref="A245:D247"/>
    <mergeCell ref="M12:N12"/>
    <mergeCell ref="I12:J12"/>
    <mergeCell ref="A6:N6"/>
    <mergeCell ref="A12:D12"/>
    <mergeCell ref="K12:L12"/>
    <mergeCell ref="I11:L11"/>
    <mergeCell ref="B10:N10"/>
    <mergeCell ref="E8:N8"/>
  </mergeCells>
  <printOptions/>
  <pageMargins left="0.25" right="0.25" top="0.75" bottom="0.75" header="0.3" footer="0.3"/>
  <pageSetup horizontalDpi="600" verticalDpi="600" orientation="portrait" paperSize="9" scale="46" r:id="rId1"/>
  <rowBreaks count="3" manualBreakCount="3">
    <brk id="150" max="13" man="1"/>
    <brk id="215" max="13" man="1"/>
    <brk id="24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327"/>
  <sheetViews>
    <sheetView showZeros="0" zoomScale="75" zoomScaleNormal="75" zoomScaleSheetLayoutView="40" zoomScalePageLayoutView="0" workbookViewId="0" topLeftCell="A1">
      <pane xSplit="5" ySplit="13" topLeftCell="F14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N39" sqref="N39"/>
    </sheetView>
  </sheetViews>
  <sheetFormatPr defaultColWidth="9.140625" defaultRowHeight="12.75"/>
  <cols>
    <col min="1" max="1" width="5.140625" style="22" bestFit="1" customWidth="1"/>
    <col min="2" max="2" width="3.7109375" style="41" customWidth="1"/>
    <col min="3" max="3" width="4.28125" style="41" customWidth="1"/>
    <col min="4" max="4" width="7.00390625" style="41" customWidth="1"/>
    <col min="5" max="5" width="81.57421875" style="22" customWidth="1"/>
    <col min="6" max="6" width="15.140625" style="22" customWidth="1"/>
    <col min="7" max="7" width="16.8515625" style="22" bestFit="1" customWidth="1"/>
    <col min="8" max="8" width="16.7109375" style="22" customWidth="1"/>
    <col min="9" max="9" width="17.421875" style="22" bestFit="1" customWidth="1"/>
    <col min="10" max="10" width="16.7109375" style="22" customWidth="1"/>
    <col min="11" max="11" width="17.421875" style="22" bestFit="1" customWidth="1"/>
    <col min="12" max="12" width="32.140625" style="22" bestFit="1" customWidth="1"/>
    <col min="13" max="13" width="9.140625" style="22" customWidth="1"/>
    <col min="14" max="14" width="16.8515625" style="22" bestFit="1" customWidth="1"/>
    <col min="15" max="16" width="9.140625" style="22" customWidth="1"/>
    <col min="17" max="17" width="16.00390625" style="22" customWidth="1"/>
    <col min="18" max="18" width="9.140625" style="22" customWidth="1"/>
    <col min="19" max="19" width="15.57421875" style="22" customWidth="1"/>
    <col min="20" max="20" width="12.57421875" style="22" customWidth="1"/>
    <col min="21" max="16384" width="9.140625" style="22" customWidth="1"/>
  </cols>
  <sheetData>
    <row r="1" spans="4:11" ht="15" customHeight="1">
      <c r="D1" s="22"/>
      <c r="J1" s="226"/>
      <c r="K1" s="219" t="s">
        <v>197</v>
      </c>
    </row>
    <row r="2" spans="2:16" ht="15" customHeight="1">
      <c r="B2" s="71"/>
      <c r="C2" s="71"/>
      <c r="D2" s="71"/>
      <c r="E2" s="71"/>
      <c r="F2" s="71"/>
      <c r="G2" s="71"/>
      <c r="H2" s="71"/>
      <c r="I2" s="71"/>
      <c r="J2" s="227"/>
      <c r="K2" s="228" t="s">
        <v>536</v>
      </c>
      <c r="L2" s="202"/>
      <c r="M2" s="288"/>
      <c r="N2" s="288"/>
      <c r="O2" s="288"/>
      <c r="P2" s="288"/>
    </row>
    <row r="3" spans="2:16" ht="15" customHeight="1">
      <c r="B3" s="71"/>
      <c r="C3" s="71"/>
      <c r="D3" s="71"/>
      <c r="E3" s="71"/>
      <c r="F3" s="71"/>
      <c r="G3" s="71"/>
      <c r="H3" s="71"/>
      <c r="I3" s="71"/>
      <c r="J3" s="227"/>
      <c r="K3" s="228" t="s">
        <v>463</v>
      </c>
      <c r="L3" s="202"/>
      <c r="M3" s="288"/>
      <c r="N3" s="288"/>
      <c r="O3" s="288"/>
      <c r="P3" s="288"/>
    </row>
    <row r="4" spans="2:16" ht="15" customHeight="1">
      <c r="B4" s="71"/>
      <c r="C4" s="71"/>
      <c r="D4" s="71"/>
      <c r="E4" s="71"/>
      <c r="F4" s="71"/>
      <c r="G4" s="71"/>
      <c r="H4" s="71"/>
      <c r="I4" s="71"/>
      <c r="J4" s="227"/>
      <c r="K4" s="228" t="s">
        <v>436</v>
      </c>
      <c r="M4" s="288"/>
      <c r="N4" s="288"/>
      <c r="O4" s="288"/>
      <c r="P4" s="288"/>
    </row>
    <row r="5" spans="2:16" ht="15" customHeight="1">
      <c r="B5" s="71"/>
      <c r="C5" s="71"/>
      <c r="D5" s="71"/>
      <c r="E5" s="71"/>
      <c r="F5" s="71"/>
      <c r="G5" s="71"/>
      <c r="H5" s="71"/>
      <c r="I5" s="71"/>
      <c r="J5" s="227"/>
      <c r="K5" s="228" t="s">
        <v>437</v>
      </c>
      <c r="M5" s="288"/>
      <c r="N5" s="288"/>
      <c r="O5" s="288"/>
      <c r="P5" s="288"/>
    </row>
    <row r="6" spans="1:16" ht="15" customHeight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M6" s="288"/>
      <c r="N6" s="288"/>
      <c r="O6" s="288"/>
      <c r="P6" s="288"/>
    </row>
    <row r="7" spans="1:16" ht="1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M7" s="288"/>
      <c r="N7" s="288"/>
      <c r="O7" s="288"/>
      <c r="P7" s="288"/>
    </row>
    <row r="8" spans="2:16" ht="15" customHeight="1">
      <c r="B8" s="71"/>
      <c r="C8" s="71"/>
      <c r="D8" s="71"/>
      <c r="E8" s="285" t="s">
        <v>434</v>
      </c>
      <c r="F8" s="285"/>
      <c r="G8" s="285"/>
      <c r="H8" s="285"/>
      <c r="I8" s="285"/>
      <c r="J8" s="285"/>
      <c r="K8" s="285"/>
      <c r="M8" s="288"/>
      <c r="N8" s="288"/>
      <c r="O8" s="288"/>
      <c r="P8" s="288"/>
    </row>
    <row r="9" spans="2:16" ht="15" customHeight="1">
      <c r="B9" s="71"/>
      <c r="C9" s="71"/>
      <c r="D9" s="71"/>
      <c r="E9" s="71"/>
      <c r="F9" s="71"/>
      <c r="G9" s="71"/>
      <c r="H9" s="71"/>
      <c r="I9" s="71"/>
      <c r="J9" s="71"/>
      <c r="K9" s="71"/>
      <c r="M9" s="288"/>
      <c r="N9" s="288"/>
      <c r="O9" s="288"/>
      <c r="P9" s="288"/>
    </row>
    <row r="10" spans="2:16" ht="15" customHeight="1">
      <c r="B10" s="285" t="s">
        <v>312</v>
      </c>
      <c r="C10" s="285"/>
      <c r="D10" s="285"/>
      <c r="E10" s="285"/>
      <c r="F10" s="285"/>
      <c r="G10" s="285"/>
      <c r="H10" s="285"/>
      <c r="I10" s="285"/>
      <c r="J10" s="285"/>
      <c r="K10" s="285"/>
      <c r="M10" s="288"/>
      <c r="N10" s="288"/>
      <c r="O10" s="288"/>
      <c r="P10" s="288"/>
    </row>
    <row r="11" spans="2:16" ht="15.75" customHeight="1">
      <c r="B11" s="30"/>
      <c r="C11" s="30"/>
      <c r="D11" s="30"/>
      <c r="E11" s="203"/>
      <c r="F11" s="203"/>
      <c r="G11" s="203"/>
      <c r="H11" s="284" t="s">
        <v>537</v>
      </c>
      <c r="I11" s="284"/>
      <c r="J11" s="284"/>
      <c r="K11" s="284"/>
      <c r="M11" s="288"/>
      <c r="N11" s="288"/>
      <c r="O11" s="288"/>
      <c r="P11" s="288"/>
    </row>
    <row r="12" spans="1:11" ht="18" customHeight="1">
      <c r="A12" s="283" t="s">
        <v>0</v>
      </c>
      <c r="B12" s="283"/>
      <c r="C12" s="283"/>
      <c r="D12" s="283"/>
      <c r="E12" s="197" t="s">
        <v>1</v>
      </c>
      <c r="F12" s="281" t="s">
        <v>466</v>
      </c>
      <c r="G12" s="280"/>
      <c r="H12" s="281">
        <v>2020</v>
      </c>
      <c r="I12" s="280"/>
      <c r="J12" s="281" t="s">
        <v>467</v>
      </c>
      <c r="K12" s="280"/>
    </row>
    <row r="13" spans="1:11" s="44" customFormat="1" ht="18" customHeight="1">
      <c r="A13" s="81" t="s">
        <v>73</v>
      </c>
      <c r="B13" s="31" t="s">
        <v>74</v>
      </c>
      <c r="C13" s="32"/>
      <c r="D13" s="33" t="s">
        <v>75</v>
      </c>
      <c r="E13" s="34"/>
      <c r="F13" s="82" t="s">
        <v>104</v>
      </c>
      <c r="G13" s="82" t="s">
        <v>26</v>
      </c>
      <c r="H13" s="82" t="s">
        <v>104</v>
      </c>
      <c r="I13" s="82" t="s">
        <v>26</v>
      </c>
      <c r="J13" s="82" t="s">
        <v>104</v>
      </c>
      <c r="K13" s="82" t="s">
        <v>26</v>
      </c>
    </row>
    <row r="14" spans="1:11" s="44" customFormat="1" ht="16.5" hidden="1">
      <c r="A14" s="230"/>
      <c r="B14" s="240"/>
      <c r="C14" s="240"/>
      <c r="D14" s="240"/>
      <c r="E14" s="245" t="s">
        <v>2</v>
      </c>
      <c r="F14" s="248">
        <f aca="true" t="shared" si="0" ref="F14:K14">F15</f>
        <v>151.2</v>
      </c>
      <c r="G14" s="248">
        <f t="shared" si="0"/>
        <v>351568.64</v>
      </c>
      <c r="H14" s="248">
        <f t="shared" si="0"/>
        <v>190</v>
      </c>
      <c r="I14" s="248">
        <f t="shared" si="0"/>
        <v>108147</v>
      </c>
      <c r="J14" s="248">
        <f t="shared" si="0"/>
        <v>0</v>
      </c>
      <c r="K14" s="248">
        <f t="shared" si="0"/>
        <v>0</v>
      </c>
    </row>
    <row r="15" spans="1:11" ht="16.5" hidden="1">
      <c r="A15" s="230"/>
      <c r="B15" s="240"/>
      <c r="C15" s="240"/>
      <c r="D15" s="240"/>
      <c r="E15" s="246" t="s">
        <v>313</v>
      </c>
      <c r="F15" s="250">
        <f aca="true" t="shared" si="1" ref="F15:K15">SUM(F16:F22)</f>
        <v>151.2</v>
      </c>
      <c r="G15" s="250">
        <f t="shared" si="1"/>
        <v>351568.64</v>
      </c>
      <c r="H15" s="250">
        <f t="shared" si="1"/>
        <v>190</v>
      </c>
      <c r="I15" s="250">
        <f t="shared" si="1"/>
        <v>108147</v>
      </c>
      <c r="J15" s="250">
        <f t="shared" si="1"/>
        <v>0</v>
      </c>
      <c r="K15" s="250">
        <f t="shared" si="1"/>
        <v>0</v>
      </c>
    </row>
    <row r="16" spans="1:11" ht="18" customHeight="1" hidden="1">
      <c r="A16" s="230">
        <v>311</v>
      </c>
      <c r="B16" s="240">
        <v>25</v>
      </c>
      <c r="C16" s="240">
        <v>911</v>
      </c>
      <c r="D16" s="241">
        <v>70499</v>
      </c>
      <c r="E16" s="244" t="s">
        <v>391</v>
      </c>
      <c r="F16" s="252">
        <v>151.2</v>
      </c>
      <c r="G16" s="252">
        <v>0</v>
      </c>
      <c r="H16" s="252">
        <v>190</v>
      </c>
      <c r="I16" s="252">
        <v>0</v>
      </c>
      <c r="J16" s="250"/>
      <c r="K16" s="250"/>
    </row>
    <row r="17" spans="1:11" ht="18" customHeight="1" hidden="1">
      <c r="A17" s="230">
        <v>311</v>
      </c>
      <c r="B17" s="240">
        <v>25</v>
      </c>
      <c r="C17" s="240">
        <v>921</v>
      </c>
      <c r="D17" s="241">
        <v>70499</v>
      </c>
      <c r="E17" s="244" t="s">
        <v>348</v>
      </c>
      <c r="F17" s="252">
        <v>0</v>
      </c>
      <c r="G17" s="252">
        <v>6840.4</v>
      </c>
      <c r="H17" s="252">
        <v>0</v>
      </c>
      <c r="I17" s="252">
        <v>14100</v>
      </c>
      <c r="J17" s="252"/>
      <c r="K17" s="252"/>
    </row>
    <row r="18" spans="1:11" ht="33" hidden="1">
      <c r="A18" s="230">
        <v>321</v>
      </c>
      <c r="B18" s="240">
        <v>25</v>
      </c>
      <c r="C18" s="240">
        <v>921</v>
      </c>
      <c r="D18" s="241">
        <v>70499</v>
      </c>
      <c r="E18" s="244" t="s">
        <v>348</v>
      </c>
      <c r="F18" s="252">
        <v>0</v>
      </c>
      <c r="G18" s="252">
        <v>291484.8</v>
      </c>
      <c r="H18" s="250"/>
      <c r="I18" s="252"/>
      <c r="J18" s="250"/>
      <c r="K18" s="252"/>
    </row>
    <row r="19" spans="1:11" ht="16.5" hidden="1">
      <c r="A19" s="230">
        <v>321</v>
      </c>
      <c r="B19" s="240">
        <v>25</v>
      </c>
      <c r="C19" s="240">
        <v>931</v>
      </c>
      <c r="D19" s="241">
        <v>70499</v>
      </c>
      <c r="E19" s="244" t="s">
        <v>468</v>
      </c>
      <c r="F19" s="252">
        <v>0</v>
      </c>
      <c r="G19" s="252">
        <v>0</v>
      </c>
      <c r="H19" s="252"/>
      <c r="I19" s="252"/>
      <c r="J19" s="252"/>
      <c r="K19" s="252"/>
    </row>
    <row r="20" spans="1:11" ht="16.5" hidden="1">
      <c r="A20" s="230">
        <v>311</v>
      </c>
      <c r="B20" s="240">
        <v>25</v>
      </c>
      <c r="C20" s="240">
        <v>921</v>
      </c>
      <c r="D20" s="241">
        <v>70499</v>
      </c>
      <c r="E20" s="244" t="s">
        <v>469</v>
      </c>
      <c r="F20" s="252">
        <v>0</v>
      </c>
      <c r="G20" s="252">
        <v>3685.4399999999996</v>
      </c>
      <c r="H20" s="252"/>
      <c r="I20" s="252"/>
      <c r="J20" s="252"/>
      <c r="K20" s="252"/>
    </row>
    <row r="21" spans="1:11" ht="33" hidden="1">
      <c r="A21" s="230">
        <v>311</v>
      </c>
      <c r="B21" s="240">
        <v>25</v>
      </c>
      <c r="C21" s="240">
        <v>921</v>
      </c>
      <c r="D21" s="241">
        <v>70499</v>
      </c>
      <c r="E21" s="244" t="s">
        <v>420</v>
      </c>
      <c r="F21" s="252">
        <v>0</v>
      </c>
      <c r="G21" s="252">
        <v>9423</v>
      </c>
      <c r="H21" s="252"/>
      <c r="I21" s="252">
        <v>7684.5</v>
      </c>
      <c r="J21" s="252"/>
      <c r="K21" s="252"/>
    </row>
    <row r="22" spans="1:11" ht="33" hidden="1">
      <c r="A22" s="230">
        <v>321</v>
      </c>
      <c r="B22" s="240">
        <v>25</v>
      </c>
      <c r="C22" s="240">
        <v>931</v>
      </c>
      <c r="D22" s="241">
        <v>70499</v>
      </c>
      <c r="E22" s="244" t="s">
        <v>421</v>
      </c>
      <c r="F22" s="252">
        <v>0</v>
      </c>
      <c r="G22" s="252">
        <v>40135</v>
      </c>
      <c r="H22" s="252"/>
      <c r="I22" s="252">
        <v>86362.5</v>
      </c>
      <c r="J22" s="252"/>
      <c r="K22" s="252"/>
    </row>
    <row r="23" spans="1:11" ht="16.5" hidden="1">
      <c r="A23" s="230"/>
      <c r="B23" s="240"/>
      <c r="C23" s="240"/>
      <c r="D23" s="242"/>
      <c r="E23" s="244"/>
      <c r="F23" s="252">
        <v>0</v>
      </c>
      <c r="G23" s="252">
        <v>0</v>
      </c>
      <c r="H23" s="252"/>
      <c r="I23" s="252"/>
      <c r="J23" s="252"/>
      <c r="K23" s="252"/>
    </row>
    <row r="24" spans="1:11" ht="16.5" hidden="1">
      <c r="A24" s="230"/>
      <c r="B24" s="240"/>
      <c r="C24" s="240"/>
      <c r="D24" s="240"/>
      <c r="E24" s="245" t="s">
        <v>41</v>
      </c>
      <c r="F24" s="248">
        <f aca="true" t="shared" si="2" ref="F24:K24">F25</f>
        <v>5025.599999999999</v>
      </c>
      <c r="G24" s="248">
        <f t="shared" si="2"/>
        <v>79990.79999999999</v>
      </c>
      <c r="H24" s="248">
        <f t="shared" si="2"/>
        <v>19000</v>
      </c>
      <c r="I24" s="248">
        <f t="shared" si="2"/>
        <v>346084.5</v>
      </c>
      <c r="J24" s="248">
        <f t="shared" si="2"/>
        <v>0</v>
      </c>
      <c r="K24" s="248">
        <f t="shared" si="2"/>
        <v>0</v>
      </c>
    </row>
    <row r="25" spans="1:11" ht="18" customHeight="1" hidden="1">
      <c r="A25" s="230"/>
      <c r="B25" s="240"/>
      <c r="C25" s="240"/>
      <c r="D25" s="240"/>
      <c r="E25" s="246" t="s">
        <v>313</v>
      </c>
      <c r="F25" s="250">
        <f aca="true" t="shared" si="3" ref="F25:K25">SUM(F26:F29)</f>
        <v>5025.599999999999</v>
      </c>
      <c r="G25" s="250">
        <f t="shared" si="3"/>
        <v>79990.79999999999</v>
      </c>
      <c r="H25" s="250">
        <f t="shared" si="3"/>
        <v>19000</v>
      </c>
      <c r="I25" s="250">
        <f t="shared" si="3"/>
        <v>346084.5</v>
      </c>
      <c r="J25" s="250">
        <f t="shared" si="3"/>
        <v>0</v>
      </c>
      <c r="K25" s="250">
        <f t="shared" si="3"/>
        <v>0</v>
      </c>
    </row>
    <row r="26" spans="1:11" ht="18" customHeight="1" hidden="1">
      <c r="A26" s="230">
        <v>311</v>
      </c>
      <c r="B26" s="240">
        <v>28</v>
      </c>
      <c r="C26" s="240">
        <v>910</v>
      </c>
      <c r="D26" s="241">
        <v>70499</v>
      </c>
      <c r="E26" s="247" t="s">
        <v>102</v>
      </c>
      <c r="F26" s="252">
        <v>5025.599999999999</v>
      </c>
      <c r="G26" s="252">
        <v>0</v>
      </c>
      <c r="H26" s="252">
        <v>19000</v>
      </c>
      <c r="I26" s="252">
        <v>0</v>
      </c>
      <c r="J26" s="248"/>
      <c r="K26" s="248"/>
    </row>
    <row r="27" spans="1:11" ht="18" customHeight="1" hidden="1">
      <c r="A27" s="230">
        <v>311</v>
      </c>
      <c r="B27" s="240">
        <v>28</v>
      </c>
      <c r="C27" s="240">
        <v>920</v>
      </c>
      <c r="D27" s="241">
        <v>70499</v>
      </c>
      <c r="E27" s="247" t="s">
        <v>101</v>
      </c>
      <c r="F27" s="252">
        <v>0</v>
      </c>
      <c r="G27" s="252">
        <v>16333.199999999999</v>
      </c>
      <c r="H27" s="252">
        <v>0</v>
      </c>
      <c r="I27" s="252">
        <v>42934.5</v>
      </c>
      <c r="J27" s="250"/>
      <c r="K27" s="250"/>
    </row>
    <row r="28" spans="1:12" ht="18" customHeight="1" hidden="1">
      <c r="A28" s="230">
        <v>311</v>
      </c>
      <c r="B28" s="240">
        <v>28</v>
      </c>
      <c r="C28" s="240">
        <v>930</v>
      </c>
      <c r="D28" s="241">
        <v>70499</v>
      </c>
      <c r="E28" s="247" t="s">
        <v>100</v>
      </c>
      <c r="F28" s="252">
        <v>0</v>
      </c>
      <c r="G28" s="252">
        <v>23173.6</v>
      </c>
      <c r="H28" s="252">
        <v>0</v>
      </c>
      <c r="I28" s="252">
        <v>105750</v>
      </c>
      <c r="J28" s="252"/>
      <c r="K28" s="258"/>
      <c r="L28" s="205"/>
    </row>
    <row r="29" spans="1:11" ht="18" customHeight="1" hidden="1">
      <c r="A29" s="230">
        <v>311</v>
      </c>
      <c r="B29" s="240">
        <v>28</v>
      </c>
      <c r="C29" s="240">
        <v>920</v>
      </c>
      <c r="D29" s="241">
        <v>70499</v>
      </c>
      <c r="E29" s="247" t="s">
        <v>470</v>
      </c>
      <c r="F29" s="252">
        <v>0</v>
      </c>
      <c r="G29" s="252">
        <v>40484</v>
      </c>
      <c r="H29" s="252">
        <v>0</v>
      </c>
      <c r="I29" s="252">
        <v>197400</v>
      </c>
      <c r="J29" s="252"/>
      <c r="K29" s="252"/>
    </row>
    <row r="30" spans="1:11" ht="18" customHeight="1" hidden="1">
      <c r="A30" s="230"/>
      <c r="B30" s="240"/>
      <c r="C30" s="240"/>
      <c r="D30" s="241"/>
      <c r="E30" s="244"/>
      <c r="F30" s="252">
        <v>0</v>
      </c>
      <c r="G30" s="252">
        <v>0</v>
      </c>
      <c r="H30" s="252"/>
      <c r="I30" s="252"/>
      <c r="J30" s="252"/>
      <c r="K30" s="252"/>
    </row>
    <row r="31" spans="1:11" ht="16.5">
      <c r="A31" s="230"/>
      <c r="B31" s="240"/>
      <c r="C31" s="240"/>
      <c r="D31" s="240"/>
      <c r="E31" s="245" t="s">
        <v>7</v>
      </c>
      <c r="F31" s="248">
        <f aca="true" t="shared" si="4" ref="F31:K31">F32</f>
        <v>32600</v>
      </c>
      <c r="G31" s="248">
        <f t="shared" si="4"/>
        <v>347673.8</v>
      </c>
      <c r="H31" s="248">
        <f t="shared" si="4"/>
        <v>68100</v>
      </c>
      <c r="I31" s="248">
        <f t="shared" si="4"/>
        <v>564000</v>
      </c>
      <c r="J31" s="248">
        <f t="shared" si="4"/>
        <v>79856</v>
      </c>
      <c r="K31" s="248">
        <f t="shared" si="4"/>
        <v>559512.49</v>
      </c>
    </row>
    <row r="32" spans="1:11" ht="16.5">
      <c r="A32" s="230"/>
      <c r="B32" s="240"/>
      <c r="C32" s="240"/>
      <c r="D32" s="240"/>
      <c r="E32" s="246" t="s">
        <v>313</v>
      </c>
      <c r="F32" s="250">
        <f aca="true" t="shared" si="5" ref="F32:K32">SUM(F33:F42)</f>
        <v>32600</v>
      </c>
      <c r="G32" s="250">
        <f t="shared" si="5"/>
        <v>347673.8</v>
      </c>
      <c r="H32" s="250">
        <f t="shared" si="5"/>
        <v>68100</v>
      </c>
      <c r="I32" s="250">
        <f t="shared" si="5"/>
        <v>564000</v>
      </c>
      <c r="J32" s="250">
        <f t="shared" si="5"/>
        <v>79856</v>
      </c>
      <c r="K32" s="250">
        <f t="shared" si="5"/>
        <v>559512.49</v>
      </c>
    </row>
    <row r="33" spans="1:11" ht="18" customHeight="1">
      <c r="A33" s="230">
        <v>311</v>
      </c>
      <c r="B33" s="240">
        <v>34</v>
      </c>
      <c r="C33" s="240">
        <v>911</v>
      </c>
      <c r="D33" s="241">
        <v>70989</v>
      </c>
      <c r="E33" s="244" t="s">
        <v>337</v>
      </c>
      <c r="F33" s="252">
        <v>1600</v>
      </c>
      <c r="G33" s="252">
        <v>0</v>
      </c>
      <c r="H33" s="248"/>
      <c r="I33" s="248"/>
      <c r="J33" s="248"/>
      <c r="K33" s="248"/>
    </row>
    <row r="34" spans="1:11" ht="18" customHeight="1">
      <c r="A34" s="230">
        <v>311</v>
      </c>
      <c r="B34" s="240">
        <v>34</v>
      </c>
      <c r="C34" s="240">
        <v>921</v>
      </c>
      <c r="D34" s="241">
        <v>70989</v>
      </c>
      <c r="E34" s="244" t="s">
        <v>423</v>
      </c>
      <c r="F34" s="252">
        <v>0</v>
      </c>
      <c r="G34" s="252">
        <v>49837.2</v>
      </c>
      <c r="H34" s="250"/>
      <c r="I34" s="250"/>
      <c r="J34" s="250"/>
      <c r="K34" s="250"/>
    </row>
    <row r="35" spans="1:11" ht="18" customHeight="1">
      <c r="A35" s="230">
        <v>311</v>
      </c>
      <c r="B35" s="240">
        <v>34</v>
      </c>
      <c r="C35" s="240">
        <v>931</v>
      </c>
      <c r="D35" s="241">
        <v>70989</v>
      </c>
      <c r="E35" s="244" t="s">
        <v>424</v>
      </c>
      <c r="F35" s="252">
        <v>0</v>
      </c>
      <c r="G35" s="252">
        <v>47408.16</v>
      </c>
      <c r="H35" s="252"/>
      <c r="I35" s="252"/>
      <c r="J35" s="252"/>
      <c r="K35" s="252"/>
    </row>
    <row r="36" spans="1:11" ht="18" customHeight="1">
      <c r="A36" s="230">
        <v>311</v>
      </c>
      <c r="B36" s="240">
        <v>34</v>
      </c>
      <c r="C36" s="240">
        <v>911</v>
      </c>
      <c r="D36" s="241">
        <v>70989</v>
      </c>
      <c r="E36" s="244" t="s">
        <v>288</v>
      </c>
      <c r="F36" s="252">
        <v>9000</v>
      </c>
      <c r="G36" s="252">
        <v>0</v>
      </c>
      <c r="H36" s="252">
        <v>21100</v>
      </c>
      <c r="I36" s="252">
        <v>0</v>
      </c>
      <c r="J36" s="252">
        <v>39215</v>
      </c>
      <c r="K36" s="252">
        <v>0</v>
      </c>
    </row>
    <row r="37" spans="1:11" ht="33">
      <c r="A37" s="230">
        <v>311</v>
      </c>
      <c r="B37" s="240">
        <v>34</v>
      </c>
      <c r="C37" s="240">
        <v>921</v>
      </c>
      <c r="D37" s="241">
        <v>70989</v>
      </c>
      <c r="E37" s="244" t="s">
        <v>208</v>
      </c>
      <c r="F37" s="252">
        <v>0</v>
      </c>
      <c r="G37" s="252">
        <v>139600</v>
      </c>
      <c r="H37" s="252">
        <v>0</v>
      </c>
      <c r="I37" s="252">
        <v>141000</v>
      </c>
      <c r="J37" s="252">
        <v>0</v>
      </c>
      <c r="K37" s="252">
        <v>181622.49000000002</v>
      </c>
    </row>
    <row r="38" spans="1:19" ht="33">
      <c r="A38" s="230">
        <v>311</v>
      </c>
      <c r="B38" s="240">
        <v>34</v>
      </c>
      <c r="C38" s="240">
        <v>911</v>
      </c>
      <c r="D38" s="241">
        <v>70989</v>
      </c>
      <c r="E38" s="244" t="s">
        <v>38</v>
      </c>
      <c r="F38" s="252">
        <v>15000</v>
      </c>
      <c r="G38" s="252">
        <v>0</v>
      </c>
      <c r="H38" s="252"/>
      <c r="I38" s="252"/>
      <c r="J38" s="252"/>
      <c r="K38" s="252"/>
      <c r="O38" s="205"/>
      <c r="Q38" s="205"/>
      <c r="S38" s="205"/>
    </row>
    <row r="39" spans="1:11" ht="33">
      <c r="A39" s="230">
        <v>311</v>
      </c>
      <c r="B39" s="240">
        <v>34</v>
      </c>
      <c r="C39" s="240">
        <v>921</v>
      </c>
      <c r="D39" s="241">
        <v>70989</v>
      </c>
      <c r="E39" s="244" t="s">
        <v>27</v>
      </c>
      <c r="F39" s="252">
        <v>0</v>
      </c>
      <c r="G39" s="252">
        <v>11866</v>
      </c>
      <c r="H39" s="252"/>
      <c r="I39" s="252"/>
      <c r="J39" s="252"/>
      <c r="K39" s="252"/>
    </row>
    <row r="40" spans="1:11" ht="33">
      <c r="A40" s="230">
        <v>311</v>
      </c>
      <c r="B40" s="240">
        <v>34</v>
      </c>
      <c r="C40" s="240">
        <v>931</v>
      </c>
      <c r="D40" s="241">
        <v>70989</v>
      </c>
      <c r="E40" s="244" t="s">
        <v>39</v>
      </c>
      <c r="F40" s="252">
        <v>0</v>
      </c>
      <c r="G40" s="252">
        <v>14015.84</v>
      </c>
      <c r="H40" s="252"/>
      <c r="I40" s="252"/>
      <c r="J40" s="252"/>
      <c r="K40" s="252"/>
    </row>
    <row r="41" spans="1:14" ht="24.75" customHeight="1">
      <c r="A41" s="230">
        <v>311</v>
      </c>
      <c r="B41" s="240">
        <v>34</v>
      </c>
      <c r="C41" s="240">
        <v>911</v>
      </c>
      <c r="D41" s="241">
        <v>70989</v>
      </c>
      <c r="E41" s="244" t="s">
        <v>367</v>
      </c>
      <c r="F41" s="252">
        <v>7000</v>
      </c>
      <c r="G41" s="252">
        <v>0</v>
      </c>
      <c r="H41" s="252">
        <v>47000</v>
      </c>
      <c r="I41" s="252">
        <v>0</v>
      </c>
      <c r="J41" s="252">
        <v>40641</v>
      </c>
      <c r="K41" s="252">
        <v>0</v>
      </c>
      <c r="N41" s="217"/>
    </row>
    <row r="42" spans="1:11" ht="31.5" customHeight="1">
      <c r="A42" s="230">
        <v>311</v>
      </c>
      <c r="B42" s="240">
        <v>34</v>
      </c>
      <c r="C42" s="240">
        <v>921</v>
      </c>
      <c r="D42" s="241">
        <v>70989</v>
      </c>
      <c r="E42" s="244" t="s">
        <v>368</v>
      </c>
      <c r="F42" s="252">
        <v>0</v>
      </c>
      <c r="G42" s="252">
        <v>84946.59999999999</v>
      </c>
      <c r="H42" s="252">
        <v>0</v>
      </c>
      <c r="I42" s="252">
        <v>423000</v>
      </c>
      <c r="J42" s="252">
        <v>0</v>
      </c>
      <c r="K42" s="252">
        <v>377890</v>
      </c>
    </row>
    <row r="43" spans="1:22" ht="16.5">
      <c r="A43" s="230"/>
      <c r="B43" s="240"/>
      <c r="C43" s="240"/>
      <c r="D43" s="241"/>
      <c r="E43" s="244"/>
      <c r="F43" s="252">
        <v>0</v>
      </c>
      <c r="G43" s="252">
        <v>0</v>
      </c>
      <c r="H43" s="252"/>
      <c r="I43" s="252"/>
      <c r="J43" s="252"/>
      <c r="K43" s="252"/>
      <c r="S43" s="193"/>
      <c r="T43" s="49"/>
      <c r="U43" s="193"/>
      <c r="V43" s="49"/>
    </row>
    <row r="44" spans="1:11" ht="16.5" hidden="1">
      <c r="A44" s="230"/>
      <c r="B44" s="240"/>
      <c r="C44" s="240"/>
      <c r="D44" s="240"/>
      <c r="E44" s="245" t="s">
        <v>8</v>
      </c>
      <c r="F44" s="248">
        <f aca="true" t="shared" si="6" ref="F44:K44">F45</f>
        <v>10790</v>
      </c>
      <c r="G44" s="248">
        <f t="shared" si="6"/>
        <v>185378.33000000005</v>
      </c>
      <c r="H44" s="248">
        <f t="shared" si="6"/>
        <v>72800</v>
      </c>
      <c r="I44" s="248">
        <f t="shared" si="6"/>
        <v>556809</v>
      </c>
      <c r="J44" s="248">
        <f t="shared" si="6"/>
        <v>170799.15</v>
      </c>
      <c r="K44" s="248">
        <f t="shared" si="6"/>
        <v>1623001.9</v>
      </c>
    </row>
    <row r="45" spans="1:11" ht="16.5" hidden="1">
      <c r="A45" s="230"/>
      <c r="B45" s="240"/>
      <c r="C45" s="240"/>
      <c r="D45" s="240"/>
      <c r="E45" s="246" t="s">
        <v>313</v>
      </c>
      <c r="F45" s="250">
        <f aca="true" t="shared" si="7" ref="F45:K45">SUM(F46:F58)</f>
        <v>10790</v>
      </c>
      <c r="G45" s="250">
        <f t="shared" si="7"/>
        <v>185378.33000000005</v>
      </c>
      <c r="H45" s="250">
        <f t="shared" si="7"/>
        <v>72800</v>
      </c>
      <c r="I45" s="250">
        <f t="shared" si="7"/>
        <v>556809</v>
      </c>
      <c r="J45" s="250">
        <f t="shared" si="7"/>
        <v>170799.15</v>
      </c>
      <c r="K45" s="250">
        <f t="shared" si="7"/>
        <v>1623001.9</v>
      </c>
    </row>
    <row r="46" spans="1:11" ht="21.75" customHeight="1" hidden="1">
      <c r="A46" s="230">
        <v>311</v>
      </c>
      <c r="B46" s="240">
        <v>37</v>
      </c>
      <c r="C46" s="240">
        <v>911</v>
      </c>
      <c r="D46" s="240">
        <v>70769</v>
      </c>
      <c r="E46" s="244" t="s">
        <v>210</v>
      </c>
      <c r="F46" s="252">
        <v>0</v>
      </c>
      <c r="G46" s="252">
        <v>1891.58</v>
      </c>
      <c r="H46" s="250">
        <v>0</v>
      </c>
      <c r="I46" s="252">
        <v>8671.5</v>
      </c>
      <c r="J46" s="250">
        <v>0</v>
      </c>
      <c r="K46" s="252">
        <v>20106.6</v>
      </c>
    </row>
    <row r="47" spans="1:11" ht="18" customHeight="1" hidden="1">
      <c r="A47" s="230">
        <v>311</v>
      </c>
      <c r="B47" s="240">
        <v>37</v>
      </c>
      <c r="C47" s="240">
        <v>911</v>
      </c>
      <c r="D47" s="241">
        <v>70769</v>
      </c>
      <c r="E47" s="244" t="s">
        <v>471</v>
      </c>
      <c r="F47" s="252">
        <v>9920</v>
      </c>
      <c r="G47" s="252">
        <v>0</v>
      </c>
      <c r="H47" s="252">
        <v>0</v>
      </c>
      <c r="I47" s="252">
        <v>16144.5</v>
      </c>
      <c r="J47" s="250">
        <v>0</v>
      </c>
      <c r="K47" s="252">
        <v>0</v>
      </c>
    </row>
    <row r="48" spans="1:11" ht="18" customHeight="1" hidden="1">
      <c r="A48" s="230">
        <v>311</v>
      </c>
      <c r="B48" s="240">
        <v>37</v>
      </c>
      <c r="C48" s="240">
        <v>921</v>
      </c>
      <c r="D48" s="241">
        <v>70769</v>
      </c>
      <c r="E48" s="244" t="s">
        <v>17</v>
      </c>
      <c r="F48" s="252">
        <v>0</v>
      </c>
      <c r="G48" s="252">
        <v>29633.589999999997</v>
      </c>
      <c r="H48" s="252">
        <v>0</v>
      </c>
      <c r="I48" s="252">
        <v>0</v>
      </c>
      <c r="J48" s="252">
        <v>0</v>
      </c>
      <c r="K48" s="252">
        <v>0</v>
      </c>
    </row>
    <row r="49" spans="1:11" ht="16.5" hidden="1">
      <c r="A49" s="230">
        <v>311</v>
      </c>
      <c r="B49" s="240">
        <v>37</v>
      </c>
      <c r="C49" s="240">
        <v>921</v>
      </c>
      <c r="D49" s="241">
        <v>70769</v>
      </c>
      <c r="E49" s="244" t="s">
        <v>324</v>
      </c>
      <c r="F49" s="252">
        <v>0</v>
      </c>
      <c r="G49" s="252">
        <v>13820.4</v>
      </c>
      <c r="H49" s="250"/>
      <c r="I49" s="252"/>
      <c r="J49" s="250"/>
      <c r="K49" s="252"/>
    </row>
    <row r="50" spans="1:11" ht="16.5" hidden="1">
      <c r="A50" s="230">
        <v>311</v>
      </c>
      <c r="B50" s="240">
        <v>37</v>
      </c>
      <c r="C50" s="240">
        <v>921</v>
      </c>
      <c r="D50" s="241">
        <v>70769</v>
      </c>
      <c r="E50" s="244" t="s">
        <v>472</v>
      </c>
      <c r="F50" s="252">
        <v>0</v>
      </c>
      <c r="G50" s="252">
        <v>9213.6</v>
      </c>
      <c r="H50" s="250"/>
      <c r="I50" s="252"/>
      <c r="J50" s="250"/>
      <c r="K50" s="252"/>
    </row>
    <row r="51" spans="1:11" ht="16.5" hidden="1">
      <c r="A51" s="230">
        <v>311</v>
      </c>
      <c r="B51" s="240">
        <v>37</v>
      </c>
      <c r="C51" s="240">
        <v>911</v>
      </c>
      <c r="D51" s="241">
        <v>70769</v>
      </c>
      <c r="E51" s="244" t="s">
        <v>289</v>
      </c>
      <c r="F51" s="252">
        <v>820</v>
      </c>
      <c r="G51" s="252">
        <v>0</v>
      </c>
      <c r="H51" s="252">
        <v>70500</v>
      </c>
      <c r="I51" s="252">
        <v>0</v>
      </c>
      <c r="J51" s="252">
        <v>23956.8</v>
      </c>
      <c r="K51" s="252">
        <v>0</v>
      </c>
    </row>
    <row r="52" spans="1:11" ht="18" customHeight="1" hidden="1">
      <c r="A52" s="230">
        <v>311</v>
      </c>
      <c r="B52" s="240">
        <v>37</v>
      </c>
      <c r="C52" s="240">
        <v>921</v>
      </c>
      <c r="D52" s="241">
        <v>70769</v>
      </c>
      <c r="E52" s="244" t="s">
        <v>289</v>
      </c>
      <c r="F52" s="252">
        <v>0</v>
      </c>
      <c r="G52" s="252">
        <v>0</v>
      </c>
      <c r="H52" s="252">
        <v>0</v>
      </c>
      <c r="I52" s="252">
        <v>175897.5</v>
      </c>
      <c r="J52" s="252">
        <v>0</v>
      </c>
      <c r="K52" s="252">
        <v>310511.5</v>
      </c>
    </row>
    <row r="53" spans="1:11" ht="18" customHeight="1" hidden="1">
      <c r="A53" s="230">
        <v>311</v>
      </c>
      <c r="B53" s="240">
        <v>37</v>
      </c>
      <c r="C53" s="240">
        <v>911</v>
      </c>
      <c r="D53" s="241">
        <v>70769</v>
      </c>
      <c r="E53" s="244" t="s">
        <v>167</v>
      </c>
      <c r="F53" s="252">
        <v>50</v>
      </c>
      <c r="G53" s="252">
        <v>0</v>
      </c>
      <c r="H53" s="252">
        <v>2300</v>
      </c>
      <c r="I53" s="252">
        <v>0</v>
      </c>
      <c r="J53" s="252">
        <v>39678.45</v>
      </c>
      <c r="K53" s="252">
        <v>0</v>
      </c>
    </row>
    <row r="54" spans="1:11" ht="18" customHeight="1" hidden="1">
      <c r="A54" s="230">
        <v>311</v>
      </c>
      <c r="B54" s="240">
        <v>37</v>
      </c>
      <c r="C54" s="240">
        <v>921</v>
      </c>
      <c r="D54" s="241">
        <v>70769</v>
      </c>
      <c r="E54" s="244" t="s">
        <v>167</v>
      </c>
      <c r="F54" s="252">
        <v>0</v>
      </c>
      <c r="G54" s="252">
        <v>116286.80000000003</v>
      </c>
      <c r="H54" s="252">
        <v>0</v>
      </c>
      <c r="I54" s="252">
        <v>282000</v>
      </c>
      <c r="J54" s="252">
        <v>0</v>
      </c>
      <c r="K54" s="252">
        <v>69588.8</v>
      </c>
    </row>
    <row r="55" spans="1:11" ht="18" customHeight="1" hidden="1">
      <c r="A55" s="230">
        <v>311</v>
      </c>
      <c r="B55" s="240">
        <v>37</v>
      </c>
      <c r="C55" s="240">
        <v>931</v>
      </c>
      <c r="D55" s="241">
        <v>70769</v>
      </c>
      <c r="E55" s="244" t="s">
        <v>517</v>
      </c>
      <c r="F55" s="252"/>
      <c r="G55" s="252"/>
      <c r="H55" s="252"/>
      <c r="I55" s="252">
        <v>3595.5</v>
      </c>
      <c r="J55" s="252"/>
      <c r="K55" s="252"/>
    </row>
    <row r="56" spans="1:11" ht="33" hidden="1">
      <c r="A56" s="230">
        <v>311</v>
      </c>
      <c r="B56" s="240">
        <v>37</v>
      </c>
      <c r="C56" s="240">
        <v>931</v>
      </c>
      <c r="D56" s="241">
        <v>70769</v>
      </c>
      <c r="E56" s="244" t="s">
        <v>364</v>
      </c>
      <c r="F56" s="252">
        <v>0</v>
      </c>
      <c r="G56" s="252">
        <v>13729.659999999998</v>
      </c>
      <c r="H56" s="252">
        <v>0</v>
      </c>
      <c r="I56" s="252">
        <v>35250</v>
      </c>
      <c r="J56" s="252">
        <v>0</v>
      </c>
      <c r="K56" s="252">
        <v>499100</v>
      </c>
    </row>
    <row r="57" spans="1:11" ht="33" hidden="1">
      <c r="A57" s="230">
        <v>311</v>
      </c>
      <c r="B57" s="240">
        <v>37</v>
      </c>
      <c r="C57" s="240">
        <v>911</v>
      </c>
      <c r="D57" s="241">
        <v>70769</v>
      </c>
      <c r="E57" s="244" t="s">
        <v>373</v>
      </c>
      <c r="F57" s="252">
        <v>0</v>
      </c>
      <c r="G57" s="252">
        <v>0</v>
      </c>
      <c r="H57" s="252">
        <v>0</v>
      </c>
      <c r="I57" s="252">
        <v>0</v>
      </c>
      <c r="J57" s="252">
        <v>107163.9</v>
      </c>
      <c r="K57" s="252">
        <v>0</v>
      </c>
    </row>
    <row r="58" spans="1:11" ht="33" hidden="1">
      <c r="A58" s="230">
        <v>311</v>
      </c>
      <c r="B58" s="240">
        <v>37</v>
      </c>
      <c r="C58" s="240">
        <v>931</v>
      </c>
      <c r="D58" s="241">
        <v>70769</v>
      </c>
      <c r="E58" s="244" t="s">
        <v>309</v>
      </c>
      <c r="F58" s="252">
        <v>0</v>
      </c>
      <c r="G58" s="252">
        <v>802.6999999999999</v>
      </c>
      <c r="H58" s="252">
        <v>0</v>
      </c>
      <c r="I58" s="252">
        <v>35250</v>
      </c>
      <c r="J58" s="252">
        <v>0</v>
      </c>
      <c r="K58" s="252">
        <v>723695</v>
      </c>
    </row>
    <row r="59" spans="1:11" ht="16.5" hidden="1">
      <c r="A59" s="230"/>
      <c r="B59" s="240"/>
      <c r="C59" s="240"/>
      <c r="D59" s="241"/>
      <c r="E59" s="244"/>
      <c r="F59" s="252">
        <v>0</v>
      </c>
      <c r="G59" s="252">
        <v>0</v>
      </c>
      <c r="H59" s="252"/>
      <c r="I59" s="252"/>
      <c r="J59" s="252"/>
      <c r="K59" s="252"/>
    </row>
    <row r="60" spans="1:11" ht="33" hidden="1">
      <c r="A60" s="230"/>
      <c r="B60" s="240"/>
      <c r="C60" s="240"/>
      <c r="D60" s="240"/>
      <c r="E60" s="245" t="s">
        <v>305</v>
      </c>
      <c r="F60" s="248">
        <f aca="true" t="shared" si="8" ref="F60:K60">F61</f>
        <v>33950</v>
      </c>
      <c r="G60" s="248">
        <f t="shared" si="8"/>
        <v>343988.36</v>
      </c>
      <c r="H60" s="248">
        <f t="shared" si="8"/>
        <v>28880</v>
      </c>
      <c r="I60" s="248">
        <f t="shared" si="8"/>
        <v>505146.6</v>
      </c>
      <c r="J60" s="248">
        <f t="shared" si="8"/>
        <v>0</v>
      </c>
      <c r="K60" s="248">
        <f t="shared" si="8"/>
        <v>298996.55000000005</v>
      </c>
    </row>
    <row r="61" spans="1:11" ht="16.5" hidden="1">
      <c r="A61" s="230"/>
      <c r="B61" s="240"/>
      <c r="C61" s="240"/>
      <c r="D61" s="240"/>
      <c r="E61" s="246" t="s">
        <v>313</v>
      </c>
      <c r="F61" s="250">
        <f>SUM(F62:F76)</f>
        <v>33950</v>
      </c>
      <c r="G61" s="250">
        <f>SUM(G62:G75)</f>
        <v>343988.36</v>
      </c>
      <c r="H61" s="250">
        <f>SUM(H62:H75)</f>
        <v>28880</v>
      </c>
      <c r="I61" s="250">
        <f>SUM(I62:I75)</f>
        <v>505146.6</v>
      </c>
      <c r="J61" s="250">
        <f>SUM(J62:J75)</f>
        <v>0</v>
      </c>
      <c r="K61" s="250">
        <f>SUM(K62:K75)</f>
        <v>298996.55000000005</v>
      </c>
    </row>
    <row r="62" spans="1:11" ht="16.5" hidden="1">
      <c r="A62" s="230">
        <v>311</v>
      </c>
      <c r="B62" s="229">
        <v>41</v>
      </c>
      <c r="C62" s="229">
        <v>911</v>
      </c>
      <c r="D62" s="229">
        <v>70499</v>
      </c>
      <c r="E62" s="244" t="s">
        <v>473</v>
      </c>
      <c r="F62" s="253">
        <v>2700</v>
      </c>
      <c r="G62" s="253">
        <v>0</v>
      </c>
      <c r="H62" s="252"/>
      <c r="I62" s="252"/>
      <c r="J62" s="252"/>
      <c r="K62" s="252"/>
    </row>
    <row r="63" spans="1:11" ht="16.5" hidden="1">
      <c r="A63" s="230">
        <v>311</v>
      </c>
      <c r="B63" s="229">
        <v>41</v>
      </c>
      <c r="C63" s="229">
        <v>921</v>
      </c>
      <c r="D63" s="229">
        <v>70499</v>
      </c>
      <c r="E63" s="244" t="s">
        <v>474</v>
      </c>
      <c r="F63" s="253">
        <v>0</v>
      </c>
      <c r="G63" s="253">
        <v>12284.8</v>
      </c>
      <c r="H63" s="252"/>
      <c r="I63" s="252"/>
      <c r="J63" s="252"/>
      <c r="K63" s="252"/>
    </row>
    <row r="64" spans="1:11" ht="16.5" hidden="1">
      <c r="A64" s="230">
        <v>311</v>
      </c>
      <c r="B64" s="229">
        <v>41</v>
      </c>
      <c r="C64" s="229">
        <v>931</v>
      </c>
      <c r="D64" s="229">
        <v>70499</v>
      </c>
      <c r="E64" s="244" t="s">
        <v>475</v>
      </c>
      <c r="F64" s="253">
        <v>0</v>
      </c>
      <c r="G64" s="253">
        <v>3113.08</v>
      </c>
      <c r="H64" s="248"/>
      <c r="I64" s="248"/>
      <c r="J64" s="248"/>
      <c r="K64" s="248"/>
    </row>
    <row r="65" spans="1:11" ht="18" customHeight="1" hidden="1">
      <c r="A65" s="230">
        <v>311</v>
      </c>
      <c r="B65" s="240">
        <v>41</v>
      </c>
      <c r="C65" s="240">
        <v>911</v>
      </c>
      <c r="D65" s="241">
        <v>70499</v>
      </c>
      <c r="E65" s="244" t="s">
        <v>476</v>
      </c>
      <c r="F65" s="252">
        <v>1300</v>
      </c>
      <c r="G65" s="252">
        <v>0</v>
      </c>
      <c r="H65" s="252">
        <v>680</v>
      </c>
      <c r="I65" s="252">
        <v>0</v>
      </c>
      <c r="J65" s="250"/>
      <c r="K65" s="250"/>
    </row>
    <row r="66" spans="1:11" ht="18" customHeight="1" hidden="1">
      <c r="A66" s="230">
        <v>311</v>
      </c>
      <c r="B66" s="240">
        <v>41</v>
      </c>
      <c r="C66" s="240">
        <v>921</v>
      </c>
      <c r="D66" s="241">
        <v>70499</v>
      </c>
      <c r="E66" s="244" t="s">
        <v>223</v>
      </c>
      <c r="F66" s="252">
        <v>0</v>
      </c>
      <c r="G66" s="252">
        <v>90118.77999999998</v>
      </c>
      <c r="H66" s="252">
        <v>0</v>
      </c>
      <c r="I66" s="252">
        <v>7050</v>
      </c>
      <c r="J66" s="250"/>
      <c r="K66" s="250"/>
    </row>
    <row r="67" spans="1:11" ht="18" customHeight="1" hidden="1">
      <c r="A67" s="230">
        <v>311</v>
      </c>
      <c r="B67" s="240">
        <v>41</v>
      </c>
      <c r="C67" s="240">
        <v>921</v>
      </c>
      <c r="D67" s="241">
        <v>70499</v>
      </c>
      <c r="E67" s="244" t="s">
        <v>224</v>
      </c>
      <c r="F67" s="252">
        <v>0</v>
      </c>
      <c r="G67" s="252">
        <v>5095.4</v>
      </c>
      <c r="H67" s="250"/>
      <c r="I67" s="250"/>
      <c r="J67" s="250"/>
      <c r="K67" s="250"/>
    </row>
    <row r="68" spans="1:11" ht="18" customHeight="1" hidden="1">
      <c r="A68" s="230">
        <v>311</v>
      </c>
      <c r="B68" s="240">
        <v>41</v>
      </c>
      <c r="C68" s="240">
        <v>931</v>
      </c>
      <c r="D68" s="241">
        <v>70499</v>
      </c>
      <c r="E68" s="244" t="s">
        <v>93</v>
      </c>
      <c r="F68" s="252">
        <v>0</v>
      </c>
      <c r="G68" s="252">
        <v>6980</v>
      </c>
      <c r="H68" s="250"/>
      <c r="I68" s="250"/>
      <c r="J68" s="250"/>
      <c r="K68" s="250"/>
    </row>
    <row r="69" spans="1:11" ht="18" customHeight="1" hidden="1">
      <c r="A69" s="230">
        <v>311</v>
      </c>
      <c r="B69" s="240">
        <v>41</v>
      </c>
      <c r="C69" s="240">
        <v>911</v>
      </c>
      <c r="D69" s="241">
        <v>70499</v>
      </c>
      <c r="E69" s="244" t="s">
        <v>439</v>
      </c>
      <c r="F69" s="252">
        <v>11450</v>
      </c>
      <c r="G69" s="252">
        <v>0</v>
      </c>
      <c r="H69" s="252">
        <v>28200</v>
      </c>
      <c r="I69" s="252">
        <v>0</v>
      </c>
      <c r="J69" s="252">
        <v>0</v>
      </c>
      <c r="K69" s="252">
        <v>0</v>
      </c>
    </row>
    <row r="70" spans="1:11" ht="18" customHeight="1" hidden="1">
      <c r="A70" s="230">
        <v>311</v>
      </c>
      <c r="B70" s="240">
        <v>41</v>
      </c>
      <c r="C70" s="240">
        <v>921</v>
      </c>
      <c r="D70" s="241">
        <v>70499</v>
      </c>
      <c r="E70" s="244" t="s">
        <v>440</v>
      </c>
      <c r="F70" s="252">
        <v>0</v>
      </c>
      <c r="G70" s="252">
        <v>69800</v>
      </c>
      <c r="H70" s="252">
        <v>0</v>
      </c>
      <c r="I70" s="252">
        <v>112800</v>
      </c>
      <c r="J70" s="230">
        <v>0</v>
      </c>
      <c r="K70" s="252">
        <v>130208.06</v>
      </c>
    </row>
    <row r="71" spans="1:11" ht="18" customHeight="1" hidden="1">
      <c r="A71" s="230">
        <v>311</v>
      </c>
      <c r="B71" s="240">
        <v>41</v>
      </c>
      <c r="C71" s="240">
        <v>931</v>
      </c>
      <c r="D71" s="241">
        <v>70499</v>
      </c>
      <c r="E71" s="244" t="s">
        <v>441</v>
      </c>
      <c r="F71" s="252">
        <v>0</v>
      </c>
      <c r="G71" s="252">
        <v>118660</v>
      </c>
      <c r="H71" s="252">
        <v>0</v>
      </c>
      <c r="I71" s="252">
        <v>179366.09999999998</v>
      </c>
      <c r="J71" s="230">
        <v>0</v>
      </c>
      <c r="K71" s="252">
        <v>168788.49000000002</v>
      </c>
    </row>
    <row r="72" spans="1:11" ht="16.5" hidden="1">
      <c r="A72" s="230">
        <v>321</v>
      </c>
      <c r="B72" s="240">
        <v>41</v>
      </c>
      <c r="C72" s="240">
        <v>911</v>
      </c>
      <c r="D72" s="241">
        <v>70499</v>
      </c>
      <c r="E72" s="244" t="s">
        <v>462</v>
      </c>
      <c r="F72" s="252">
        <v>0</v>
      </c>
      <c r="G72" s="252">
        <v>0</v>
      </c>
      <c r="H72" s="252"/>
      <c r="I72" s="252"/>
      <c r="J72" s="252"/>
      <c r="K72" s="252"/>
    </row>
    <row r="73" spans="1:11" ht="33" hidden="1">
      <c r="A73" s="230">
        <v>321</v>
      </c>
      <c r="B73" s="240">
        <v>41</v>
      </c>
      <c r="C73" s="240">
        <v>931</v>
      </c>
      <c r="D73" s="241">
        <v>70499</v>
      </c>
      <c r="E73" s="244" t="s">
        <v>325</v>
      </c>
      <c r="F73" s="252">
        <v>0</v>
      </c>
      <c r="G73" s="252">
        <v>0</v>
      </c>
      <c r="H73" s="252"/>
      <c r="I73" s="252">
        <v>133315.5</v>
      </c>
      <c r="J73" s="230"/>
      <c r="K73" s="252"/>
    </row>
    <row r="74" spans="1:11" ht="33" hidden="1">
      <c r="A74" s="230">
        <v>311</v>
      </c>
      <c r="B74" s="240">
        <v>41</v>
      </c>
      <c r="C74" s="240">
        <v>921</v>
      </c>
      <c r="D74" s="241">
        <v>70499</v>
      </c>
      <c r="E74" s="244" t="s">
        <v>420</v>
      </c>
      <c r="F74" s="252">
        <v>0</v>
      </c>
      <c r="G74" s="252">
        <v>37936.299999999996</v>
      </c>
      <c r="H74" s="252"/>
      <c r="I74" s="252">
        <v>49279.5</v>
      </c>
      <c r="J74" s="252"/>
      <c r="K74" s="252"/>
    </row>
    <row r="75" spans="1:11" ht="33" hidden="1">
      <c r="A75" s="230">
        <v>311</v>
      </c>
      <c r="B75" s="240">
        <v>41</v>
      </c>
      <c r="C75" s="240">
        <v>931</v>
      </c>
      <c r="D75" s="241">
        <v>70499</v>
      </c>
      <c r="E75" s="244" t="s">
        <v>421</v>
      </c>
      <c r="F75" s="252">
        <v>0</v>
      </c>
      <c r="G75" s="252">
        <v>0</v>
      </c>
      <c r="H75" s="252"/>
      <c r="I75" s="252">
        <v>23335.5</v>
      </c>
      <c r="J75" s="252"/>
      <c r="K75" s="252"/>
    </row>
    <row r="76" spans="1:11" ht="16.5" hidden="1">
      <c r="A76" s="230">
        <v>311</v>
      </c>
      <c r="B76" s="240">
        <v>41</v>
      </c>
      <c r="C76" s="240">
        <v>911</v>
      </c>
      <c r="D76" s="241">
        <v>70499</v>
      </c>
      <c r="E76" s="244" t="s">
        <v>442</v>
      </c>
      <c r="F76" s="252">
        <v>18500</v>
      </c>
      <c r="G76" s="252"/>
      <c r="H76" s="252"/>
      <c r="I76" s="252"/>
      <c r="J76" s="252"/>
      <c r="K76" s="252"/>
    </row>
    <row r="77" spans="1:11" ht="16.5" hidden="1">
      <c r="A77" s="230"/>
      <c r="B77" s="240"/>
      <c r="C77" s="240"/>
      <c r="D77" s="241"/>
      <c r="E77" s="244"/>
      <c r="F77" s="252">
        <v>0</v>
      </c>
      <c r="G77" s="252">
        <v>0</v>
      </c>
      <c r="H77" s="252"/>
      <c r="I77" s="252"/>
      <c r="J77" s="252"/>
      <c r="K77" s="252"/>
    </row>
    <row r="78" spans="1:11" ht="16.5" hidden="1">
      <c r="A78" s="230"/>
      <c r="B78" s="240"/>
      <c r="C78" s="240"/>
      <c r="D78" s="240"/>
      <c r="E78" s="245" t="s">
        <v>306</v>
      </c>
      <c r="F78" s="248">
        <f aca="true" t="shared" si="9" ref="F78:K78">F79</f>
        <v>589459.02</v>
      </c>
      <c r="G78" s="248">
        <f t="shared" si="9"/>
        <v>8618827.22</v>
      </c>
      <c r="H78" s="248">
        <f t="shared" si="9"/>
        <v>738517.94</v>
      </c>
      <c r="I78" s="248">
        <f t="shared" si="9"/>
        <v>7747823.5</v>
      </c>
      <c r="J78" s="248">
        <f t="shared" si="9"/>
        <v>1114404.74</v>
      </c>
      <c r="K78" s="248">
        <f t="shared" si="9"/>
        <v>10080812.0319</v>
      </c>
    </row>
    <row r="79" spans="1:11" ht="16.5" hidden="1">
      <c r="A79" s="230"/>
      <c r="B79" s="240"/>
      <c r="C79" s="240"/>
      <c r="D79" s="240"/>
      <c r="E79" s="246" t="s">
        <v>313</v>
      </c>
      <c r="F79" s="250">
        <f aca="true" t="shared" si="10" ref="F79:K79">SUM(F80:F113)</f>
        <v>589459.02</v>
      </c>
      <c r="G79" s="250">
        <f t="shared" si="10"/>
        <v>8618827.22</v>
      </c>
      <c r="H79" s="250">
        <f t="shared" si="10"/>
        <v>738517.94</v>
      </c>
      <c r="I79" s="250">
        <f t="shared" si="10"/>
        <v>7747823.5</v>
      </c>
      <c r="J79" s="250">
        <f t="shared" si="10"/>
        <v>1114404.74</v>
      </c>
      <c r="K79" s="250">
        <f t="shared" si="10"/>
        <v>10080812.0319</v>
      </c>
    </row>
    <row r="80" spans="1:11" ht="16.5" hidden="1">
      <c r="A80" s="230">
        <v>311</v>
      </c>
      <c r="B80" s="240">
        <v>43</v>
      </c>
      <c r="C80" s="240">
        <v>910</v>
      </c>
      <c r="D80" s="241">
        <v>70499</v>
      </c>
      <c r="E80" s="247" t="s">
        <v>110</v>
      </c>
      <c r="F80" s="252">
        <v>7678</v>
      </c>
      <c r="G80" s="252">
        <v>0</v>
      </c>
      <c r="H80" s="252"/>
      <c r="I80" s="252"/>
      <c r="J80" s="252"/>
      <c r="K80" s="252"/>
    </row>
    <row r="81" spans="1:11" ht="16.5" hidden="1">
      <c r="A81" s="230">
        <v>311</v>
      </c>
      <c r="B81" s="240">
        <v>43</v>
      </c>
      <c r="C81" s="240">
        <v>930</v>
      </c>
      <c r="D81" s="241">
        <v>70499</v>
      </c>
      <c r="E81" s="247" t="s">
        <v>111</v>
      </c>
      <c r="F81" s="252">
        <v>0</v>
      </c>
      <c r="G81" s="252">
        <v>27920</v>
      </c>
      <c r="H81" s="252"/>
      <c r="I81" s="252"/>
      <c r="J81" s="252"/>
      <c r="K81" s="252"/>
    </row>
    <row r="82" spans="1:11" ht="33" customHeight="1" hidden="1">
      <c r="A82" s="230">
        <v>311</v>
      </c>
      <c r="B82" s="240">
        <v>43</v>
      </c>
      <c r="C82" s="240">
        <v>930</v>
      </c>
      <c r="D82" s="241">
        <v>70499</v>
      </c>
      <c r="E82" s="247" t="s">
        <v>112</v>
      </c>
      <c r="F82" s="252">
        <v>0</v>
      </c>
      <c r="G82" s="252">
        <v>32108</v>
      </c>
      <c r="H82" s="252"/>
      <c r="I82" s="252"/>
      <c r="J82" s="252"/>
      <c r="K82" s="252"/>
    </row>
    <row r="83" spans="1:11" ht="16.5" hidden="1">
      <c r="A83" s="230">
        <v>311</v>
      </c>
      <c r="B83" s="240">
        <v>43</v>
      </c>
      <c r="C83" s="240">
        <v>910</v>
      </c>
      <c r="D83" s="241">
        <v>70499</v>
      </c>
      <c r="E83" s="244" t="s">
        <v>162</v>
      </c>
      <c r="F83" s="252">
        <v>44858.38</v>
      </c>
      <c r="G83" s="230">
        <v>0</v>
      </c>
      <c r="H83" s="252">
        <v>82817.94</v>
      </c>
      <c r="I83" s="230">
        <v>0</v>
      </c>
      <c r="J83" s="252">
        <v>21390</v>
      </c>
      <c r="K83" s="230">
        <v>0</v>
      </c>
    </row>
    <row r="84" spans="1:11" ht="33" hidden="1">
      <c r="A84" s="230">
        <v>311</v>
      </c>
      <c r="B84" s="240">
        <v>43</v>
      </c>
      <c r="C84" s="240">
        <v>930</v>
      </c>
      <c r="D84" s="241">
        <v>70499</v>
      </c>
      <c r="E84" s="244" t="s">
        <v>163</v>
      </c>
      <c r="F84" s="252">
        <v>0</v>
      </c>
      <c r="G84" s="252">
        <v>230340</v>
      </c>
      <c r="H84" s="252">
        <v>0</v>
      </c>
      <c r="I84" s="252">
        <v>351600</v>
      </c>
      <c r="J84" s="252">
        <v>0</v>
      </c>
      <c r="K84" s="258">
        <v>92690</v>
      </c>
    </row>
    <row r="85" spans="1:11" ht="33" hidden="1">
      <c r="A85" s="230">
        <v>311</v>
      </c>
      <c r="B85" s="240">
        <v>43</v>
      </c>
      <c r="C85" s="240">
        <v>910</v>
      </c>
      <c r="D85" s="241">
        <v>70499</v>
      </c>
      <c r="E85" s="244" t="s">
        <v>329</v>
      </c>
      <c r="F85" s="252">
        <v>6980</v>
      </c>
      <c r="G85" s="252">
        <v>0</v>
      </c>
      <c r="H85" s="252">
        <v>70500</v>
      </c>
      <c r="I85" s="252">
        <v>0</v>
      </c>
      <c r="J85" s="252">
        <v>71300</v>
      </c>
      <c r="K85" s="258">
        <v>0</v>
      </c>
    </row>
    <row r="86" spans="1:11" ht="15.75" customHeight="1" hidden="1">
      <c r="A86" s="230">
        <v>311</v>
      </c>
      <c r="B86" s="240">
        <v>43</v>
      </c>
      <c r="C86" s="240">
        <v>930</v>
      </c>
      <c r="D86" s="241">
        <v>70499</v>
      </c>
      <c r="E86" s="244" t="s">
        <v>330</v>
      </c>
      <c r="F86" s="252">
        <v>0</v>
      </c>
      <c r="G86" s="252">
        <v>45370</v>
      </c>
      <c r="H86" s="252">
        <v>0</v>
      </c>
      <c r="I86" s="252">
        <v>141000</v>
      </c>
      <c r="J86" s="252">
        <v>0</v>
      </c>
      <c r="K86" s="252">
        <v>213900</v>
      </c>
    </row>
    <row r="87" spans="1:11" ht="15.75" customHeight="1" hidden="1">
      <c r="A87" s="230">
        <v>311</v>
      </c>
      <c r="B87" s="240">
        <v>43</v>
      </c>
      <c r="C87" s="240">
        <v>930</v>
      </c>
      <c r="D87" s="241">
        <v>70499</v>
      </c>
      <c r="E87" s="244" t="s">
        <v>331</v>
      </c>
      <c r="F87" s="252">
        <v>0</v>
      </c>
      <c r="G87" s="252">
        <v>69800</v>
      </c>
      <c r="H87" s="252">
        <v>0</v>
      </c>
      <c r="I87" s="252">
        <v>211200</v>
      </c>
      <c r="J87" s="252">
        <v>0</v>
      </c>
      <c r="K87" s="252">
        <v>356500</v>
      </c>
    </row>
    <row r="88" spans="1:11" ht="33" hidden="1">
      <c r="A88" s="230">
        <v>311</v>
      </c>
      <c r="B88" s="242">
        <v>43</v>
      </c>
      <c r="C88" s="242">
        <v>910</v>
      </c>
      <c r="D88" s="241">
        <v>70499</v>
      </c>
      <c r="E88" s="247" t="s">
        <v>109</v>
      </c>
      <c r="F88" s="252">
        <v>55840</v>
      </c>
      <c r="G88" s="252">
        <v>0</v>
      </c>
      <c r="H88" s="252">
        <v>14100</v>
      </c>
      <c r="I88" s="252">
        <v>0</v>
      </c>
      <c r="J88" s="252">
        <v>0</v>
      </c>
      <c r="K88" s="258">
        <v>0</v>
      </c>
    </row>
    <row r="89" spans="1:11" ht="15.75" customHeight="1" hidden="1">
      <c r="A89" s="230">
        <v>311</v>
      </c>
      <c r="B89" s="242">
        <v>43</v>
      </c>
      <c r="C89" s="242">
        <v>930</v>
      </c>
      <c r="D89" s="241">
        <v>70499</v>
      </c>
      <c r="E89" s="247" t="s">
        <v>45</v>
      </c>
      <c r="F89" s="252">
        <v>0</v>
      </c>
      <c r="G89" s="252">
        <v>156840.6</v>
      </c>
      <c r="H89" s="252">
        <v>0</v>
      </c>
      <c r="I89" s="252">
        <v>56400</v>
      </c>
      <c r="J89" s="258">
        <v>0</v>
      </c>
      <c r="K89" s="252">
        <v>0</v>
      </c>
    </row>
    <row r="90" spans="1:11" ht="16.5" hidden="1">
      <c r="A90" s="230">
        <v>311</v>
      </c>
      <c r="B90" s="242">
        <v>43</v>
      </c>
      <c r="C90" s="242">
        <v>930</v>
      </c>
      <c r="D90" s="241">
        <v>70499</v>
      </c>
      <c r="E90" s="247" t="s">
        <v>114</v>
      </c>
      <c r="F90" s="252">
        <v>0</v>
      </c>
      <c r="G90" s="252">
        <v>46626.4</v>
      </c>
      <c r="H90" s="252">
        <v>0</v>
      </c>
      <c r="I90" s="252">
        <v>88125</v>
      </c>
      <c r="J90" s="258">
        <v>0</v>
      </c>
      <c r="K90" s="252">
        <v>0</v>
      </c>
    </row>
    <row r="91" spans="1:11" ht="16.5" hidden="1">
      <c r="A91" s="230">
        <v>311</v>
      </c>
      <c r="B91" s="242">
        <v>43</v>
      </c>
      <c r="C91" s="242">
        <v>930</v>
      </c>
      <c r="D91" s="241">
        <v>70499</v>
      </c>
      <c r="E91" s="247" t="s">
        <v>47</v>
      </c>
      <c r="F91" s="252">
        <v>0</v>
      </c>
      <c r="G91" s="252">
        <v>21987</v>
      </c>
      <c r="H91" s="252">
        <v>0</v>
      </c>
      <c r="I91" s="252">
        <v>17625</v>
      </c>
      <c r="J91" s="258">
        <v>0</v>
      </c>
      <c r="K91" s="252">
        <v>0</v>
      </c>
    </row>
    <row r="92" spans="1:14" ht="16.5" hidden="1">
      <c r="A92" s="230">
        <v>311</v>
      </c>
      <c r="B92" s="242">
        <v>43</v>
      </c>
      <c r="C92" s="242">
        <v>930</v>
      </c>
      <c r="D92" s="241">
        <v>70499</v>
      </c>
      <c r="E92" s="247" t="s">
        <v>46</v>
      </c>
      <c r="F92" s="252">
        <v>0</v>
      </c>
      <c r="G92" s="252">
        <v>41880</v>
      </c>
      <c r="H92" s="252">
        <v>0</v>
      </c>
      <c r="I92" s="252">
        <v>119850</v>
      </c>
      <c r="J92" s="258">
        <v>0</v>
      </c>
      <c r="K92" s="252">
        <v>0</v>
      </c>
      <c r="N92" s="205"/>
    </row>
    <row r="93" spans="1:11" ht="33" hidden="1">
      <c r="A93" s="230">
        <v>311</v>
      </c>
      <c r="B93" s="242">
        <v>43</v>
      </c>
      <c r="C93" s="242">
        <v>910</v>
      </c>
      <c r="D93" s="241">
        <v>70499</v>
      </c>
      <c r="E93" s="247" t="s">
        <v>118</v>
      </c>
      <c r="F93" s="252">
        <v>279200</v>
      </c>
      <c r="G93" s="252">
        <v>0</v>
      </c>
      <c r="H93" s="252">
        <v>211500</v>
      </c>
      <c r="I93" s="252">
        <v>0</v>
      </c>
      <c r="J93" s="252">
        <v>181879.17</v>
      </c>
      <c r="K93" s="258">
        <v>0</v>
      </c>
    </row>
    <row r="94" spans="1:11" ht="33" hidden="1">
      <c r="A94" s="230">
        <v>311</v>
      </c>
      <c r="B94" s="242">
        <v>43</v>
      </c>
      <c r="C94" s="242">
        <v>920</v>
      </c>
      <c r="D94" s="241">
        <v>70499</v>
      </c>
      <c r="E94" s="247" t="s">
        <v>119</v>
      </c>
      <c r="F94" s="252">
        <v>0</v>
      </c>
      <c r="G94" s="252">
        <v>366788.53</v>
      </c>
      <c r="H94" s="252">
        <v>0</v>
      </c>
      <c r="I94" s="252">
        <v>423000</v>
      </c>
      <c r="J94" s="252">
        <v>0</v>
      </c>
      <c r="K94" s="252">
        <v>229540.368</v>
      </c>
    </row>
    <row r="95" spans="1:11" ht="33" hidden="1">
      <c r="A95" s="230">
        <v>311</v>
      </c>
      <c r="B95" s="242">
        <v>43</v>
      </c>
      <c r="C95" s="242">
        <v>930</v>
      </c>
      <c r="D95" s="241">
        <v>70499</v>
      </c>
      <c r="E95" s="247" t="s">
        <v>120</v>
      </c>
      <c r="F95" s="252">
        <v>0</v>
      </c>
      <c r="G95" s="252">
        <v>837600</v>
      </c>
      <c r="H95" s="252">
        <v>0</v>
      </c>
      <c r="I95" s="252">
        <v>845400</v>
      </c>
      <c r="J95" s="252">
        <v>0</v>
      </c>
      <c r="K95" s="252">
        <v>620310</v>
      </c>
    </row>
    <row r="96" spans="1:11" ht="33" hidden="1">
      <c r="A96" s="230">
        <v>311</v>
      </c>
      <c r="B96" s="242">
        <v>43</v>
      </c>
      <c r="C96" s="242">
        <v>910</v>
      </c>
      <c r="D96" s="241">
        <v>70499</v>
      </c>
      <c r="E96" s="247" t="s">
        <v>429</v>
      </c>
      <c r="F96" s="252">
        <v>30014</v>
      </c>
      <c r="G96" s="252">
        <v>0</v>
      </c>
      <c r="H96" s="252">
        <v>211500</v>
      </c>
      <c r="I96" s="252">
        <v>0</v>
      </c>
      <c r="J96" s="252">
        <v>188980.65</v>
      </c>
      <c r="K96" s="258">
        <v>0</v>
      </c>
    </row>
    <row r="97" spans="1:11" ht="33" hidden="1">
      <c r="A97" s="230">
        <v>311</v>
      </c>
      <c r="B97" s="242">
        <v>43</v>
      </c>
      <c r="C97" s="242">
        <v>930</v>
      </c>
      <c r="D97" s="241">
        <v>70499</v>
      </c>
      <c r="E97" s="247" t="s">
        <v>430</v>
      </c>
      <c r="F97" s="252">
        <v>0</v>
      </c>
      <c r="G97" s="252">
        <v>209400</v>
      </c>
      <c r="H97" s="252">
        <v>0</v>
      </c>
      <c r="I97" s="252">
        <v>704400</v>
      </c>
      <c r="J97" s="252">
        <v>0</v>
      </c>
      <c r="K97" s="252">
        <v>1299841.7799999998</v>
      </c>
    </row>
    <row r="98" spans="1:11" ht="33" hidden="1">
      <c r="A98" s="230">
        <v>311</v>
      </c>
      <c r="B98" s="242">
        <v>43</v>
      </c>
      <c r="C98" s="242">
        <v>910</v>
      </c>
      <c r="D98" s="241">
        <v>70499</v>
      </c>
      <c r="E98" s="247" t="s">
        <v>123</v>
      </c>
      <c r="F98" s="252">
        <v>69800</v>
      </c>
      <c r="G98" s="252">
        <v>0</v>
      </c>
      <c r="H98" s="252"/>
      <c r="I98" s="252"/>
      <c r="J98" s="258"/>
      <c r="K98" s="252"/>
    </row>
    <row r="99" spans="1:11" ht="33" hidden="1">
      <c r="A99" s="230">
        <v>311</v>
      </c>
      <c r="B99" s="242">
        <v>43</v>
      </c>
      <c r="C99" s="242">
        <v>920</v>
      </c>
      <c r="D99" s="241">
        <v>70499</v>
      </c>
      <c r="E99" s="247" t="s">
        <v>124</v>
      </c>
      <c r="F99" s="252">
        <v>0</v>
      </c>
      <c r="G99" s="252">
        <v>45296.71</v>
      </c>
      <c r="H99" s="252"/>
      <c r="I99" s="252"/>
      <c r="J99" s="258"/>
      <c r="K99" s="252"/>
    </row>
    <row r="100" spans="1:11" ht="33" hidden="1">
      <c r="A100" s="230">
        <v>311</v>
      </c>
      <c r="B100" s="242">
        <v>43</v>
      </c>
      <c r="C100" s="242">
        <v>930</v>
      </c>
      <c r="D100" s="241">
        <v>70499</v>
      </c>
      <c r="E100" s="247" t="s">
        <v>125</v>
      </c>
      <c r="F100" s="252">
        <v>0</v>
      </c>
      <c r="G100" s="252">
        <v>808423.6</v>
      </c>
      <c r="H100" s="252"/>
      <c r="I100" s="252"/>
      <c r="J100" s="258"/>
      <c r="K100" s="252"/>
    </row>
    <row r="101" spans="1:11" ht="33" hidden="1">
      <c r="A101" s="230">
        <v>311</v>
      </c>
      <c r="B101" s="242">
        <v>43</v>
      </c>
      <c r="C101" s="242">
        <v>920</v>
      </c>
      <c r="D101" s="241">
        <v>70499</v>
      </c>
      <c r="E101" s="247" t="s">
        <v>518</v>
      </c>
      <c r="F101" s="252"/>
      <c r="G101" s="252"/>
      <c r="H101" s="252"/>
      <c r="I101" s="252"/>
      <c r="J101" s="258"/>
      <c r="K101" s="252">
        <v>179743.9489</v>
      </c>
    </row>
    <row r="102" spans="1:11" ht="33" hidden="1">
      <c r="A102" s="230">
        <v>311</v>
      </c>
      <c r="B102" s="242">
        <v>43</v>
      </c>
      <c r="C102" s="242">
        <v>930</v>
      </c>
      <c r="D102" s="241">
        <v>70499</v>
      </c>
      <c r="E102" s="247" t="s">
        <v>519</v>
      </c>
      <c r="F102" s="252"/>
      <c r="G102" s="252"/>
      <c r="H102" s="252"/>
      <c r="I102" s="252"/>
      <c r="J102" s="258"/>
      <c r="K102" s="252">
        <v>106950</v>
      </c>
    </row>
    <row r="103" spans="1:11" ht="16.5" hidden="1">
      <c r="A103" s="230">
        <v>311</v>
      </c>
      <c r="B103" s="242">
        <v>43</v>
      </c>
      <c r="C103" s="242">
        <v>930</v>
      </c>
      <c r="D103" s="242">
        <v>70499</v>
      </c>
      <c r="E103" s="247" t="s">
        <v>97</v>
      </c>
      <c r="F103" s="252">
        <v>0</v>
      </c>
      <c r="G103" s="252">
        <v>2791923.22</v>
      </c>
      <c r="H103" s="252">
        <v>0</v>
      </c>
      <c r="I103" s="252">
        <v>1403964.9</v>
      </c>
      <c r="J103" s="252">
        <v>0</v>
      </c>
      <c r="K103" s="252">
        <v>1425889.485</v>
      </c>
    </row>
    <row r="104" spans="1:11" ht="16.5" hidden="1">
      <c r="A104" s="230">
        <v>311</v>
      </c>
      <c r="B104" s="242">
        <v>43</v>
      </c>
      <c r="C104" s="242">
        <v>930</v>
      </c>
      <c r="D104" s="242">
        <v>70499</v>
      </c>
      <c r="E104" s="247" t="s">
        <v>302</v>
      </c>
      <c r="F104" s="252">
        <v>0</v>
      </c>
      <c r="G104" s="252">
        <v>2085603.06</v>
      </c>
      <c r="H104" s="252">
        <v>0</v>
      </c>
      <c r="I104" s="252">
        <v>2106540</v>
      </c>
      <c r="J104" s="252">
        <v>0</v>
      </c>
      <c r="K104" s="252">
        <v>1065207.74</v>
      </c>
    </row>
    <row r="105" spans="1:11" ht="33" hidden="1">
      <c r="A105" s="230">
        <v>311</v>
      </c>
      <c r="B105" s="242">
        <v>43</v>
      </c>
      <c r="C105" s="242">
        <v>910</v>
      </c>
      <c r="D105" s="242">
        <v>70499</v>
      </c>
      <c r="E105" s="247" t="s">
        <v>159</v>
      </c>
      <c r="F105" s="252">
        <v>81093.64</v>
      </c>
      <c r="G105" s="252">
        <v>0</v>
      </c>
      <c r="H105" s="252">
        <v>70500</v>
      </c>
      <c r="I105" s="252">
        <v>0</v>
      </c>
      <c r="J105" s="252">
        <v>306903.72</v>
      </c>
      <c r="K105" s="252">
        <v>0</v>
      </c>
    </row>
    <row r="106" spans="1:11" ht="33" hidden="1">
      <c r="A106" s="230">
        <v>311</v>
      </c>
      <c r="B106" s="242">
        <v>43</v>
      </c>
      <c r="C106" s="242">
        <v>920</v>
      </c>
      <c r="D106" s="242">
        <v>70499</v>
      </c>
      <c r="E106" s="247" t="s">
        <v>157</v>
      </c>
      <c r="F106" s="252">
        <v>0</v>
      </c>
      <c r="G106" s="252">
        <v>173725.22</v>
      </c>
      <c r="H106" s="252">
        <v>0</v>
      </c>
      <c r="I106" s="252">
        <v>239700</v>
      </c>
      <c r="J106" s="252">
        <v>0</v>
      </c>
      <c r="K106" s="252">
        <v>415857.25</v>
      </c>
    </row>
    <row r="107" spans="1:11" ht="33" hidden="1">
      <c r="A107" s="230">
        <v>311</v>
      </c>
      <c r="B107" s="242">
        <v>43</v>
      </c>
      <c r="C107" s="242">
        <v>930</v>
      </c>
      <c r="D107" s="242">
        <v>70499</v>
      </c>
      <c r="E107" s="247" t="s">
        <v>158</v>
      </c>
      <c r="F107" s="252">
        <v>0</v>
      </c>
      <c r="G107" s="252">
        <v>73408.66</v>
      </c>
      <c r="H107" s="252">
        <v>0</v>
      </c>
      <c r="I107" s="252">
        <v>264364.5999999999</v>
      </c>
      <c r="J107" s="252">
        <v>0</v>
      </c>
      <c r="K107" s="252">
        <v>998100.1799999999</v>
      </c>
    </row>
    <row r="108" spans="1:11" ht="33" hidden="1">
      <c r="A108" s="230">
        <v>311</v>
      </c>
      <c r="B108" s="242">
        <v>43</v>
      </c>
      <c r="C108" s="242">
        <v>910</v>
      </c>
      <c r="D108" s="242">
        <v>70499</v>
      </c>
      <c r="E108" s="247" t="s">
        <v>477</v>
      </c>
      <c r="F108" s="252"/>
      <c r="G108" s="252">
        <v>0</v>
      </c>
      <c r="H108" s="252">
        <v>49400</v>
      </c>
      <c r="I108" s="252">
        <v>0</v>
      </c>
      <c r="J108" s="252">
        <v>262669.2</v>
      </c>
      <c r="K108" s="252">
        <v>0</v>
      </c>
    </row>
    <row r="109" spans="1:11" ht="33" hidden="1">
      <c r="A109" s="230">
        <v>311</v>
      </c>
      <c r="B109" s="242">
        <v>43</v>
      </c>
      <c r="C109" s="242">
        <v>920</v>
      </c>
      <c r="D109" s="242">
        <v>70499</v>
      </c>
      <c r="E109" s="247" t="s">
        <v>478</v>
      </c>
      <c r="F109" s="252">
        <v>0</v>
      </c>
      <c r="G109" s="252">
        <v>1047</v>
      </c>
      <c r="H109" s="252">
        <v>0</v>
      </c>
      <c r="I109" s="252">
        <v>34404</v>
      </c>
      <c r="J109" s="252">
        <v>0</v>
      </c>
      <c r="K109" s="252">
        <v>42780</v>
      </c>
    </row>
    <row r="110" spans="1:11" ht="33" hidden="1">
      <c r="A110" s="230">
        <v>311</v>
      </c>
      <c r="B110" s="242">
        <v>43</v>
      </c>
      <c r="C110" s="242">
        <v>930</v>
      </c>
      <c r="D110" s="242">
        <v>70499</v>
      </c>
      <c r="E110" s="247" t="s">
        <v>479</v>
      </c>
      <c r="F110" s="252">
        <v>0</v>
      </c>
      <c r="G110" s="252">
        <v>15418.820000000005</v>
      </c>
      <c r="H110" s="252">
        <v>0</v>
      </c>
      <c r="I110" s="252">
        <v>282000</v>
      </c>
      <c r="J110" s="252">
        <v>0</v>
      </c>
      <c r="K110" s="252">
        <v>1153833.64</v>
      </c>
    </row>
    <row r="111" spans="1:11" ht="16.5" hidden="1">
      <c r="A111" s="230">
        <v>311</v>
      </c>
      <c r="B111" s="242">
        <v>43</v>
      </c>
      <c r="C111" s="242">
        <v>910</v>
      </c>
      <c r="D111" s="242">
        <v>70499</v>
      </c>
      <c r="E111" s="247" t="s">
        <v>311</v>
      </c>
      <c r="F111" s="252">
        <v>13995</v>
      </c>
      <c r="G111" s="252">
        <v>0</v>
      </c>
      <c r="H111" s="252">
        <v>28200</v>
      </c>
      <c r="I111" s="252">
        <v>0</v>
      </c>
      <c r="J111" s="252">
        <v>81282</v>
      </c>
      <c r="K111" s="258">
        <v>0</v>
      </c>
    </row>
    <row r="112" spans="1:11" ht="16.5" hidden="1">
      <c r="A112" s="230">
        <v>311</v>
      </c>
      <c r="B112" s="242">
        <v>43</v>
      </c>
      <c r="C112" s="242">
        <v>930</v>
      </c>
      <c r="D112" s="242">
        <v>70499</v>
      </c>
      <c r="E112" s="247" t="s">
        <v>310</v>
      </c>
      <c r="F112" s="252">
        <v>0</v>
      </c>
      <c r="G112" s="252">
        <v>132620</v>
      </c>
      <c r="H112" s="252">
        <v>0</v>
      </c>
      <c r="I112" s="252">
        <v>155100</v>
      </c>
      <c r="J112" s="252">
        <v>0</v>
      </c>
      <c r="K112" s="252">
        <v>1235365.19</v>
      </c>
    </row>
    <row r="113" spans="1:11" ht="33" hidden="1">
      <c r="A113" s="230">
        <v>311</v>
      </c>
      <c r="B113" s="242">
        <v>43</v>
      </c>
      <c r="C113" s="242">
        <v>920</v>
      </c>
      <c r="D113" s="242">
        <v>70499</v>
      </c>
      <c r="E113" s="247" t="s">
        <v>328</v>
      </c>
      <c r="F113" s="252">
        <v>0</v>
      </c>
      <c r="G113" s="252">
        <v>404700.39999999997</v>
      </c>
      <c r="H113" s="252">
        <v>0</v>
      </c>
      <c r="I113" s="252">
        <v>303150</v>
      </c>
      <c r="J113" s="252">
        <v>0</v>
      </c>
      <c r="K113" s="252">
        <v>644302.45</v>
      </c>
    </row>
    <row r="114" spans="1:11" ht="16.5" hidden="1">
      <c r="A114" s="230"/>
      <c r="B114" s="240"/>
      <c r="C114" s="240"/>
      <c r="D114" s="240"/>
      <c r="E114" s="244"/>
      <c r="F114" s="252">
        <v>0</v>
      </c>
      <c r="G114" s="252">
        <v>0</v>
      </c>
      <c r="H114" s="252"/>
      <c r="I114" s="252"/>
      <c r="J114" s="252"/>
      <c r="K114" s="252"/>
    </row>
    <row r="115" spans="1:11" ht="16.5" hidden="1">
      <c r="A115" s="230"/>
      <c r="B115" s="240"/>
      <c r="C115" s="240"/>
      <c r="D115" s="240"/>
      <c r="E115" s="245" t="s">
        <v>12</v>
      </c>
      <c r="F115" s="249">
        <f aca="true" t="shared" si="11" ref="F115:K115">F116</f>
        <v>0</v>
      </c>
      <c r="G115" s="249">
        <f t="shared" si="11"/>
        <v>182499.08</v>
      </c>
      <c r="H115" s="249">
        <f t="shared" si="11"/>
        <v>0</v>
      </c>
      <c r="I115" s="249">
        <f t="shared" si="11"/>
        <v>410310</v>
      </c>
      <c r="J115" s="249">
        <f t="shared" si="11"/>
        <v>0</v>
      </c>
      <c r="K115" s="249">
        <f t="shared" si="11"/>
        <v>555255.88</v>
      </c>
    </row>
    <row r="116" spans="1:11" ht="16.5" hidden="1">
      <c r="A116" s="230"/>
      <c r="B116" s="240"/>
      <c r="C116" s="240"/>
      <c r="D116" s="240"/>
      <c r="E116" s="246" t="s">
        <v>313</v>
      </c>
      <c r="F116" s="251">
        <f aca="true" t="shared" si="12" ref="F116:K116">SUM(F117:F123)</f>
        <v>0</v>
      </c>
      <c r="G116" s="251">
        <f t="shared" si="12"/>
        <v>182499.08</v>
      </c>
      <c r="H116" s="251">
        <f t="shared" si="12"/>
        <v>0</v>
      </c>
      <c r="I116" s="251">
        <f t="shared" si="12"/>
        <v>410310</v>
      </c>
      <c r="J116" s="251">
        <f t="shared" si="12"/>
        <v>0</v>
      </c>
      <c r="K116" s="251">
        <f t="shared" si="12"/>
        <v>555255.88</v>
      </c>
    </row>
    <row r="117" spans="1:11" ht="33" hidden="1">
      <c r="A117" s="230">
        <v>311</v>
      </c>
      <c r="B117" s="242">
        <v>45</v>
      </c>
      <c r="C117" s="242">
        <v>920</v>
      </c>
      <c r="D117" s="242">
        <v>70259</v>
      </c>
      <c r="E117" s="247" t="s">
        <v>362</v>
      </c>
      <c r="F117" s="252">
        <v>0</v>
      </c>
      <c r="G117" s="252">
        <v>15356</v>
      </c>
      <c r="H117" s="252">
        <v>0</v>
      </c>
      <c r="I117" s="252">
        <v>74730</v>
      </c>
      <c r="J117" s="258">
        <v>0</v>
      </c>
      <c r="K117" s="252">
        <v>141088.44</v>
      </c>
    </row>
    <row r="118" spans="1:11" ht="33" hidden="1">
      <c r="A118" s="230">
        <v>311</v>
      </c>
      <c r="B118" s="242">
        <v>45</v>
      </c>
      <c r="C118" s="242">
        <v>930</v>
      </c>
      <c r="D118" s="242">
        <v>70259</v>
      </c>
      <c r="E118" s="247" t="s">
        <v>363</v>
      </c>
      <c r="F118" s="252">
        <v>0</v>
      </c>
      <c r="G118" s="252">
        <v>15356</v>
      </c>
      <c r="H118" s="252">
        <v>0</v>
      </c>
      <c r="I118" s="252">
        <v>74730</v>
      </c>
      <c r="J118" s="258">
        <v>0</v>
      </c>
      <c r="K118" s="252">
        <v>141088.44</v>
      </c>
    </row>
    <row r="119" spans="1:11" ht="33" hidden="1">
      <c r="A119" s="230">
        <v>311</v>
      </c>
      <c r="B119" s="242">
        <v>45</v>
      </c>
      <c r="C119" s="242">
        <v>920</v>
      </c>
      <c r="D119" s="242">
        <v>70259</v>
      </c>
      <c r="E119" s="247" t="s">
        <v>480</v>
      </c>
      <c r="F119" s="252">
        <v>0</v>
      </c>
      <c r="G119" s="252">
        <v>75893.54</v>
      </c>
      <c r="H119" s="252">
        <v>0</v>
      </c>
      <c r="I119" s="252">
        <v>98700</v>
      </c>
      <c r="J119" s="258">
        <v>0</v>
      </c>
      <c r="K119" s="252">
        <v>136539.5</v>
      </c>
    </row>
    <row r="120" spans="1:11" ht="33" hidden="1">
      <c r="A120" s="230">
        <v>311</v>
      </c>
      <c r="B120" s="242">
        <v>45</v>
      </c>
      <c r="C120" s="242">
        <v>930</v>
      </c>
      <c r="D120" s="242">
        <v>70259</v>
      </c>
      <c r="E120" s="247" t="s">
        <v>481</v>
      </c>
      <c r="F120" s="252">
        <v>0</v>
      </c>
      <c r="G120" s="252">
        <v>75893.54</v>
      </c>
      <c r="H120" s="252">
        <v>0</v>
      </c>
      <c r="I120" s="252">
        <v>98700</v>
      </c>
      <c r="J120" s="252">
        <v>0</v>
      </c>
      <c r="K120" s="252">
        <v>136539.5</v>
      </c>
    </row>
    <row r="121" spans="1:11" ht="33" hidden="1">
      <c r="A121" s="230">
        <v>311</v>
      </c>
      <c r="B121" s="242">
        <v>41</v>
      </c>
      <c r="C121" s="242">
        <v>921</v>
      </c>
      <c r="D121" s="242">
        <v>70259</v>
      </c>
      <c r="E121" s="247" t="s">
        <v>494</v>
      </c>
      <c r="F121" s="252"/>
      <c r="G121" s="252"/>
      <c r="H121" s="252"/>
      <c r="I121" s="252">
        <v>0</v>
      </c>
      <c r="J121" s="252"/>
      <c r="K121" s="252"/>
    </row>
    <row r="122" spans="1:11" ht="33" hidden="1">
      <c r="A122" s="230">
        <v>311</v>
      </c>
      <c r="B122" s="242">
        <v>41</v>
      </c>
      <c r="C122" s="242">
        <v>921</v>
      </c>
      <c r="D122" s="242">
        <v>70259</v>
      </c>
      <c r="E122" s="247" t="s">
        <v>495</v>
      </c>
      <c r="F122" s="252"/>
      <c r="G122" s="252"/>
      <c r="H122" s="252"/>
      <c r="I122" s="252">
        <v>14100</v>
      </c>
      <c r="J122" s="252"/>
      <c r="K122" s="252"/>
    </row>
    <row r="123" spans="1:11" ht="33" hidden="1">
      <c r="A123" s="230">
        <v>311</v>
      </c>
      <c r="B123" s="242">
        <v>41</v>
      </c>
      <c r="C123" s="242">
        <v>931</v>
      </c>
      <c r="D123" s="242">
        <v>70259</v>
      </c>
      <c r="E123" s="247" t="s">
        <v>496</v>
      </c>
      <c r="F123" s="252"/>
      <c r="G123" s="252"/>
      <c r="H123" s="252"/>
      <c r="I123" s="252">
        <v>49350</v>
      </c>
      <c r="J123" s="252"/>
      <c r="K123" s="252"/>
    </row>
    <row r="124" spans="1:11" ht="18" customHeight="1" hidden="1">
      <c r="A124" s="230"/>
      <c r="B124" s="242"/>
      <c r="C124" s="242"/>
      <c r="D124" s="242"/>
      <c r="E124" s="247"/>
      <c r="F124" s="252">
        <v>0</v>
      </c>
      <c r="G124" s="252">
        <v>0</v>
      </c>
      <c r="H124" s="252"/>
      <c r="I124" s="252"/>
      <c r="J124" s="258"/>
      <c r="K124" s="252"/>
    </row>
    <row r="125" spans="1:11" ht="33" hidden="1">
      <c r="A125" s="230"/>
      <c r="B125" s="242"/>
      <c r="C125" s="242"/>
      <c r="D125" s="241"/>
      <c r="E125" s="245" t="s">
        <v>307</v>
      </c>
      <c r="F125" s="248">
        <f aca="true" t="shared" si="13" ref="F125:K125">F126</f>
        <v>17590</v>
      </c>
      <c r="G125" s="248">
        <f t="shared" si="13"/>
        <v>5361955.7299999995</v>
      </c>
      <c r="H125" s="248">
        <f t="shared" si="13"/>
        <v>10600</v>
      </c>
      <c r="I125" s="248">
        <f t="shared" si="13"/>
        <v>5784172.525756731</v>
      </c>
      <c r="J125" s="248">
        <f t="shared" si="13"/>
        <v>12121</v>
      </c>
      <c r="K125" s="248">
        <f t="shared" si="13"/>
        <v>8148365.636399999</v>
      </c>
    </row>
    <row r="126" spans="1:11" ht="18" customHeight="1" hidden="1">
      <c r="A126" s="230"/>
      <c r="B126" s="242"/>
      <c r="C126" s="242"/>
      <c r="D126" s="241"/>
      <c r="E126" s="246" t="s">
        <v>313</v>
      </c>
      <c r="F126" s="250">
        <f aca="true" t="shared" si="14" ref="F126:K126">SUM(F127:F159)</f>
        <v>17590</v>
      </c>
      <c r="G126" s="250">
        <f t="shared" si="14"/>
        <v>5361955.7299999995</v>
      </c>
      <c r="H126" s="250">
        <f t="shared" si="14"/>
        <v>10600</v>
      </c>
      <c r="I126" s="250">
        <f t="shared" si="14"/>
        <v>5784172.525756731</v>
      </c>
      <c r="J126" s="250">
        <f t="shared" si="14"/>
        <v>12121</v>
      </c>
      <c r="K126" s="250">
        <f t="shared" si="14"/>
        <v>8148365.636399999</v>
      </c>
    </row>
    <row r="127" spans="1:11" ht="16.5" hidden="1">
      <c r="A127" s="230">
        <v>311</v>
      </c>
      <c r="B127" s="240">
        <v>55</v>
      </c>
      <c r="C127" s="240">
        <v>910</v>
      </c>
      <c r="D127" s="241">
        <v>70499</v>
      </c>
      <c r="E127" s="244" t="s">
        <v>103</v>
      </c>
      <c r="F127" s="252">
        <v>16054</v>
      </c>
      <c r="G127" s="252">
        <v>0</v>
      </c>
      <c r="H127" s="250"/>
      <c r="I127" s="250"/>
      <c r="J127" s="250"/>
      <c r="K127" s="250"/>
    </row>
    <row r="128" spans="1:11" ht="16.5" hidden="1">
      <c r="A128" s="230">
        <v>311</v>
      </c>
      <c r="B128" s="240">
        <v>55</v>
      </c>
      <c r="C128" s="240">
        <v>920</v>
      </c>
      <c r="D128" s="241">
        <v>70499</v>
      </c>
      <c r="E128" s="244" t="s">
        <v>48</v>
      </c>
      <c r="F128" s="252">
        <v>0</v>
      </c>
      <c r="G128" s="252">
        <v>139600</v>
      </c>
      <c r="H128" s="250"/>
      <c r="I128" s="250"/>
      <c r="J128" s="250"/>
      <c r="K128" s="250"/>
    </row>
    <row r="129" spans="1:11" ht="16.5" hidden="1">
      <c r="A129" s="230">
        <v>321</v>
      </c>
      <c r="B129" s="240">
        <v>55</v>
      </c>
      <c r="C129" s="240">
        <v>920</v>
      </c>
      <c r="D129" s="241">
        <v>70499</v>
      </c>
      <c r="E129" s="244" t="s">
        <v>48</v>
      </c>
      <c r="F129" s="252">
        <v>0</v>
      </c>
      <c r="G129" s="252">
        <v>254211.59999999998</v>
      </c>
      <c r="H129" s="252"/>
      <c r="I129" s="252"/>
      <c r="J129" s="258"/>
      <c r="K129" s="252"/>
    </row>
    <row r="130" spans="1:11" ht="16.5" hidden="1">
      <c r="A130" s="230">
        <v>321</v>
      </c>
      <c r="B130" s="240">
        <v>55</v>
      </c>
      <c r="C130" s="240">
        <v>930</v>
      </c>
      <c r="D130" s="241">
        <v>70499</v>
      </c>
      <c r="E130" s="244" t="s">
        <v>49</v>
      </c>
      <c r="F130" s="252">
        <v>0</v>
      </c>
      <c r="G130" s="252">
        <v>108957.79999999999</v>
      </c>
      <c r="H130" s="252"/>
      <c r="I130" s="252"/>
      <c r="J130" s="258"/>
      <c r="K130" s="252"/>
    </row>
    <row r="131" spans="1:11" ht="16.5" hidden="1">
      <c r="A131" s="230">
        <v>321</v>
      </c>
      <c r="B131" s="240">
        <v>55</v>
      </c>
      <c r="C131" s="240">
        <v>920</v>
      </c>
      <c r="D131" s="241">
        <v>70499</v>
      </c>
      <c r="E131" s="244" t="s">
        <v>433</v>
      </c>
      <c r="F131" s="252">
        <v>0</v>
      </c>
      <c r="G131" s="252">
        <v>26384.399999999998</v>
      </c>
      <c r="H131" s="252">
        <v>0</v>
      </c>
      <c r="I131" s="252">
        <v>31443</v>
      </c>
      <c r="J131" s="258"/>
      <c r="K131" s="252"/>
    </row>
    <row r="132" spans="1:11" ht="33" hidden="1">
      <c r="A132" s="230">
        <v>321</v>
      </c>
      <c r="B132" s="240">
        <v>55</v>
      </c>
      <c r="C132" s="240">
        <v>930</v>
      </c>
      <c r="D132" s="241">
        <v>70499</v>
      </c>
      <c r="E132" s="244" t="s">
        <v>464</v>
      </c>
      <c r="F132" s="252">
        <v>0</v>
      </c>
      <c r="G132" s="252">
        <v>6840.4</v>
      </c>
      <c r="H132" s="252"/>
      <c r="I132" s="252"/>
      <c r="J132" s="252"/>
      <c r="K132" s="252"/>
    </row>
    <row r="133" spans="1:11" ht="18" customHeight="1" hidden="1">
      <c r="A133" s="230">
        <v>311</v>
      </c>
      <c r="B133" s="240">
        <v>55</v>
      </c>
      <c r="C133" s="240">
        <v>920</v>
      </c>
      <c r="D133" s="241">
        <v>70499</v>
      </c>
      <c r="E133" s="244" t="s">
        <v>179</v>
      </c>
      <c r="F133" s="252">
        <v>0</v>
      </c>
      <c r="G133" s="252">
        <v>52768.799999999996</v>
      </c>
      <c r="H133" s="252">
        <v>0</v>
      </c>
      <c r="I133" s="252">
        <v>199162.5</v>
      </c>
      <c r="J133" s="252">
        <v>0</v>
      </c>
      <c r="K133" s="252">
        <v>281278.5</v>
      </c>
    </row>
    <row r="134" spans="1:11" ht="16.5" hidden="1">
      <c r="A134" s="230">
        <v>321</v>
      </c>
      <c r="B134" s="240">
        <v>55</v>
      </c>
      <c r="C134" s="240">
        <v>930</v>
      </c>
      <c r="D134" s="241">
        <v>70499</v>
      </c>
      <c r="E134" s="244" t="s">
        <v>443</v>
      </c>
      <c r="F134" s="252">
        <v>0</v>
      </c>
      <c r="G134" s="252">
        <v>1783735.51</v>
      </c>
      <c r="H134" s="248"/>
      <c r="I134" s="248"/>
      <c r="J134" s="248"/>
      <c r="K134" s="248"/>
    </row>
    <row r="135" spans="1:11" ht="18" customHeight="1" hidden="1">
      <c r="A135" s="230">
        <v>321</v>
      </c>
      <c r="B135" s="240">
        <v>55</v>
      </c>
      <c r="C135" s="240">
        <v>920</v>
      </c>
      <c r="D135" s="241">
        <v>70499</v>
      </c>
      <c r="E135" s="244" t="s">
        <v>456</v>
      </c>
      <c r="F135" s="252">
        <v>0</v>
      </c>
      <c r="G135" s="252">
        <v>471150</v>
      </c>
      <c r="H135" s="252">
        <v>0</v>
      </c>
      <c r="I135" s="252">
        <v>0</v>
      </c>
      <c r="J135" s="252">
        <v>0</v>
      </c>
      <c r="K135" s="252">
        <v>0</v>
      </c>
    </row>
    <row r="136" spans="1:11" ht="18" customHeight="1" hidden="1">
      <c r="A136" s="230">
        <v>321</v>
      </c>
      <c r="B136" s="240">
        <v>55</v>
      </c>
      <c r="C136" s="240">
        <v>930</v>
      </c>
      <c r="D136" s="241">
        <v>70499</v>
      </c>
      <c r="E136" s="244" t="s">
        <v>457</v>
      </c>
      <c r="F136" s="252">
        <v>0</v>
      </c>
      <c r="G136" s="252">
        <v>132620</v>
      </c>
      <c r="H136" s="252">
        <v>0</v>
      </c>
      <c r="I136" s="252">
        <v>620400</v>
      </c>
      <c r="J136" s="252">
        <v>0</v>
      </c>
      <c r="K136" s="252">
        <v>1319050</v>
      </c>
    </row>
    <row r="137" spans="1:11" ht="18" customHeight="1" hidden="1">
      <c r="A137" s="230">
        <v>321</v>
      </c>
      <c r="B137" s="240">
        <v>55</v>
      </c>
      <c r="C137" s="240">
        <v>930</v>
      </c>
      <c r="D137" s="241">
        <v>70499</v>
      </c>
      <c r="E137" s="244" t="s">
        <v>458</v>
      </c>
      <c r="F137" s="252">
        <v>0</v>
      </c>
      <c r="G137" s="252">
        <v>767800</v>
      </c>
      <c r="H137" s="252">
        <v>0</v>
      </c>
      <c r="I137" s="252">
        <v>1410000</v>
      </c>
      <c r="J137" s="252">
        <v>0</v>
      </c>
      <c r="K137" s="252">
        <v>1069500</v>
      </c>
    </row>
    <row r="138" spans="1:11" ht="18" customHeight="1" hidden="1">
      <c r="A138" s="230">
        <v>321</v>
      </c>
      <c r="B138" s="240">
        <v>55</v>
      </c>
      <c r="C138" s="240">
        <v>930</v>
      </c>
      <c r="D138" s="241">
        <v>70499</v>
      </c>
      <c r="E138" s="244" t="s">
        <v>459</v>
      </c>
      <c r="F138" s="252">
        <v>0</v>
      </c>
      <c r="G138" s="252">
        <v>691020</v>
      </c>
      <c r="H138" s="252">
        <v>0</v>
      </c>
      <c r="I138" s="252">
        <v>705000</v>
      </c>
      <c r="J138" s="252">
        <v>0</v>
      </c>
      <c r="K138" s="252">
        <v>713000</v>
      </c>
    </row>
    <row r="139" spans="1:11" ht="33" hidden="1">
      <c r="A139" s="230">
        <v>321</v>
      </c>
      <c r="B139" s="240">
        <v>55</v>
      </c>
      <c r="C139" s="240">
        <v>930</v>
      </c>
      <c r="D139" s="241">
        <v>70499</v>
      </c>
      <c r="E139" s="244" t="s">
        <v>295</v>
      </c>
      <c r="F139" s="252">
        <v>0</v>
      </c>
      <c r="G139" s="252">
        <v>63448.2</v>
      </c>
      <c r="H139" s="252">
        <v>0</v>
      </c>
      <c r="I139" s="252">
        <v>98700</v>
      </c>
      <c r="J139" s="252">
        <v>0</v>
      </c>
      <c r="K139" s="252">
        <v>0</v>
      </c>
    </row>
    <row r="140" spans="1:11" ht="16.5" hidden="1">
      <c r="A140" s="230">
        <v>321</v>
      </c>
      <c r="B140" s="240">
        <v>55</v>
      </c>
      <c r="C140" s="240">
        <v>930</v>
      </c>
      <c r="D140" s="241">
        <v>70499</v>
      </c>
      <c r="E140" s="244" t="s">
        <v>482</v>
      </c>
      <c r="F140" s="252">
        <v>0</v>
      </c>
      <c r="G140" s="252">
        <v>84109</v>
      </c>
      <c r="H140" s="252"/>
      <c r="I140" s="252"/>
      <c r="J140" s="252"/>
      <c r="K140" s="252"/>
    </row>
    <row r="141" spans="1:11" ht="33" hidden="1">
      <c r="A141" s="230">
        <v>321</v>
      </c>
      <c r="B141" s="240">
        <v>55</v>
      </c>
      <c r="C141" s="240">
        <v>930</v>
      </c>
      <c r="D141" s="241">
        <v>70499</v>
      </c>
      <c r="E141" s="244" t="s">
        <v>77</v>
      </c>
      <c r="F141" s="252">
        <v>0</v>
      </c>
      <c r="G141" s="252">
        <v>139600</v>
      </c>
      <c r="H141" s="252">
        <v>0</v>
      </c>
      <c r="I141" s="252">
        <v>141000</v>
      </c>
      <c r="J141" s="252">
        <v>0</v>
      </c>
      <c r="K141" s="252">
        <v>64170</v>
      </c>
    </row>
    <row r="142" spans="1:11" ht="33" hidden="1">
      <c r="A142" s="230">
        <v>321</v>
      </c>
      <c r="B142" s="240">
        <v>55</v>
      </c>
      <c r="C142" s="240">
        <v>930</v>
      </c>
      <c r="D142" s="241">
        <v>70499</v>
      </c>
      <c r="E142" s="244" t="s">
        <v>483</v>
      </c>
      <c r="F142" s="252">
        <v>0</v>
      </c>
      <c r="G142" s="252">
        <v>0</v>
      </c>
      <c r="H142" s="252">
        <v>0</v>
      </c>
      <c r="I142" s="252">
        <v>67680</v>
      </c>
      <c r="J142" s="252">
        <v>0</v>
      </c>
      <c r="K142" s="252">
        <v>1073968.371</v>
      </c>
    </row>
    <row r="143" spans="1:11" ht="18" customHeight="1" hidden="1">
      <c r="A143" s="230">
        <v>321</v>
      </c>
      <c r="B143" s="240">
        <v>55</v>
      </c>
      <c r="C143" s="240">
        <v>930</v>
      </c>
      <c r="D143" s="241">
        <v>70499</v>
      </c>
      <c r="E143" s="244" t="s">
        <v>327</v>
      </c>
      <c r="F143" s="252">
        <v>0</v>
      </c>
      <c r="G143" s="252">
        <v>177990</v>
      </c>
      <c r="H143" s="252">
        <v>0</v>
      </c>
      <c r="I143" s="252">
        <v>775500.0257567308</v>
      </c>
      <c r="J143" s="252">
        <v>0</v>
      </c>
      <c r="K143" s="252">
        <v>729317.5753999999</v>
      </c>
    </row>
    <row r="144" spans="1:11" ht="18" customHeight="1" hidden="1">
      <c r="A144" s="230">
        <v>311</v>
      </c>
      <c r="B144" s="240">
        <v>55</v>
      </c>
      <c r="C144" s="240">
        <v>910</v>
      </c>
      <c r="D144" s="241">
        <v>70499</v>
      </c>
      <c r="E144" s="244" t="s">
        <v>326</v>
      </c>
      <c r="F144" s="252">
        <v>0</v>
      </c>
      <c r="G144" s="252">
        <v>0</v>
      </c>
      <c r="H144" s="252">
        <v>3500</v>
      </c>
      <c r="I144" s="252">
        <v>0</v>
      </c>
      <c r="J144" s="252">
        <v>3565</v>
      </c>
      <c r="K144" s="252">
        <v>0</v>
      </c>
    </row>
    <row r="145" spans="1:11" ht="18" customHeight="1" hidden="1">
      <c r="A145" s="230">
        <v>311</v>
      </c>
      <c r="B145" s="240">
        <v>55</v>
      </c>
      <c r="C145" s="240">
        <v>920</v>
      </c>
      <c r="D145" s="241">
        <v>70499</v>
      </c>
      <c r="E145" s="244" t="s">
        <v>303</v>
      </c>
      <c r="F145" s="252">
        <v>0</v>
      </c>
      <c r="G145" s="252">
        <v>97022</v>
      </c>
      <c r="H145" s="252">
        <v>0</v>
      </c>
      <c r="I145" s="252">
        <v>331350</v>
      </c>
      <c r="J145" s="252">
        <v>0</v>
      </c>
      <c r="K145" s="252">
        <v>510090.895</v>
      </c>
    </row>
    <row r="146" spans="1:11" ht="18" customHeight="1" hidden="1">
      <c r="A146" s="230">
        <v>321</v>
      </c>
      <c r="B146" s="240">
        <v>55</v>
      </c>
      <c r="C146" s="240">
        <v>930</v>
      </c>
      <c r="D146" s="241">
        <v>70499</v>
      </c>
      <c r="E146" s="244" t="s">
        <v>304</v>
      </c>
      <c r="F146" s="252">
        <v>0</v>
      </c>
      <c r="G146" s="252">
        <v>72654.82</v>
      </c>
      <c r="H146" s="252">
        <v>0</v>
      </c>
      <c r="I146" s="252">
        <v>380700</v>
      </c>
      <c r="J146" s="252">
        <v>0</v>
      </c>
      <c r="K146" s="252">
        <v>743393.051</v>
      </c>
    </row>
    <row r="147" spans="1:11" ht="18" customHeight="1" hidden="1">
      <c r="A147" s="230">
        <v>311</v>
      </c>
      <c r="B147" s="240">
        <v>55</v>
      </c>
      <c r="C147" s="240">
        <v>930</v>
      </c>
      <c r="D147" s="241">
        <v>70499</v>
      </c>
      <c r="E147" s="244" t="s">
        <v>304</v>
      </c>
      <c r="F147" s="252">
        <v>0</v>
      </c>
      <c r="G147" s="252">
        <v>32743.18</v>
      </c>
      <c r="H147" s="252">
        <v>0</v>
      </c>
      <c r="I147" s="252">
        <v>91650</v>
      </c>
      <c r="J147" s="252">
        <v>0</v>
      </c>
      <c r="K147" s="252">
        <v>0</v>
      </c>
    </row>
    <row r="148" spans="1:11" ht="18" customHeight="1" hidden="1">
      <c r="A148" s="230">
        <v>311</v>
      </c>
      <c r="B148" s="240">
        <v>55</v>
      </c>
      <c r="C148" s="240">
        <v>910</v>
      </c>
      <c r="D148" s="241">
        <v>70499</v>
      </c>
      <c r="E148" s="244" t="s">
        <v>438</v>
      </c>
      <c r="F148" s="252">
        <v>1536</v>
      </c>
      <c r="G148" s="252">
        <v>0</v>
      </c>
      <c r="H148" s="252">
        <v>7100</v>
      </c>
      <c r="I148" s="252">
        <v>107160</v>
      </c>
      <c r="J148" s="252">
        <v>8556</v>
      </c>
      <c r="K148" s="252">
        <v>69631.58</v>
      </c>
    </row>
    <row r="149" spans="1:11" ht="18" customHeight="1" hidden="1">
      <c r="A149" s="230">
        <v>311</v>
      </c>
      <c r="B149" s="240">
        <v>55</v>
      </c>
      <c r="C149" s="240">
        <v>920</v>
      </c>
      <c r="D149" s="241">
        <v>70499</v>
      </c>
      <c r="E149" s="244" t="s">
        <v>317</v>
      </c>
      <c r="F149" s="252">
        <v>0</v>
      </c>
      <c r="G149" s="252">
        <v>12564</v>
      </c>
      <c r="H149" s="252">
        <v>0</v>
      </c>
      <c r="I149" s="252">
        <v>11280</v>
      </c>
      <c r="J149" s="252">
        <v>0</v>
      </c>
      <c r="K149" s="252">
        <v>32085</v>
      </c>
    </row>
    <row r="150" spans="1:11" ht="18" customHeight="1" hidden="1">
      <c r="A150" s="230">
        <v>321</v>
      </c>
      <c r="B150" s="240">
        <v>55</v>
      </c>
      <c r="C150" s="240">
        <v>920</v>
      </c>
      <c r="D150" s="241">
        <v>70499</v>
      </c>
      <c r="E150" s="244" t="s">
        <v>317</v>
      </c>
      <c r="F150" s="252">
        <v>0</v>
      </c>
      <c r="G150" s="252">
        <v>39506.799999999996</v>
      </c>
      <c r="H150" s="252">
        <v>0</v>
      </c>
      <c r="I150" s="252">
        <v>0</v>
      </c>
      <c r="J150" s="252">
        <v>0</v>
      </c>
      <c r="K150" s="252">
        <v>0</v>
      </c>
    </row>
    <row r="151" spans="1:11" ht="16.5" hidden="1">
      <c r="A151" s="230">
        <v>321</v>
      </c>
      <c r="B151" s="240">
        <v>55</v>
      </c>
      <c r="C151" s="240">
        <v>930</v>
      </c>
      <c r="D151" s="241">
        <v>70499</v>
      </c>
      <c r="E151" s="244" t="s">
        <v>318</v>
      </c>
      <c r="F151" s="252">
        <v>0</v>
      </c>
      <c r="G151" s="252">
        <v>59748.799999999996</v>
      </c>
      <c r="H151" s="252">
        <v>0</v>
      </c>
      <c r="I151" s="252">
        <v>0</v>
      </c>
      <c r="J151" s="252">
        <v>0</v>
      </c>
      <c r="K151" s="252">
        <v>0</v>
      </c>
    </row>
    <row r="152" spans="1:11" ht="16.5" hidden="1">
      <c r="A152" s="230">
        <v>321</v>
      </c>
      <c r="B152" s="240">
        <v>55</v>
      </c>
      <c r="C152" s="240">
        <v>930</v>
      </c>
      <c r="D152" s="241">
        <v>70499</v>
      </c>
      <c r="E152" s="244" t="s">
        <v>484</v>
      </c>
      <c r="F152" s="252">
        <v>0</v>
      </c>
      <c r="G152" s="252">
        <v>69800</v>
      </c>
      <c r="H152" s="252">
        <v>0</v>
      </c>
      <c r="I152" s="252">
        <v>282000</v>
      </c>
      <c r="J152" s="252">
        <v>0</v>
      </c>
      <c r="K152" s="252">
        <v>0</v>
      </c>
    </row>
    <row r="153" spans="1:11" ht="16.5" hidden="1">
      <c r="A153" s="230">
        <v>321</v>
      </c>
      <c r="B153" s="240">
        <v>55</v>
      </c>
      <c r="C153" s="240">
        <v>930</v>
      </c>
      <c r="D153" s="241">
        <v>70499</v>
      </c>
      <c r="E153" s="244" t="s">
        <v>485</v>
      </c>
      <c r="F153" s="252">
        <v>0</v>
      </c>
      <c r="G153" s="252">
        <v>69800</v>
      </c>
      <c r="H153" s="252">
        <v>0</v>
      </c>
      <c r="I153" s="252">
        <v>352500</v>
      </c>
      <c r="J153" s="252">
        <v>0</v>
      </c>
      <c r="K153" s="252">
        <v>713000</v>
      </c>
    </row>
    <row r="154" spans="1:11" ht="18" customHeight="1" hidden="1">
      <c r="A154" s="230">
        <v>321</v>
      </c>
      <c r="B154" s="240">
        <v>55</v>
      </c>
      <c r="C154" s="240">
        <v>930</v>
      </c>
      <c r="D154" s="241">
        <v>70499</v>
      </c>
      <c r="E154" s="244" t="s">
        <v>342</v>
      </c>
      <c r="F154" s="252">
        <v>0</v>
      </c>
      <c r="G154" s="252">
        <v>0</v>
      </c>
      <c r="H154" s="259">
        <v>0</v>
      </c>
      <c r="I154" s="252">
        <v>0</v>
      </c>
      <c r="J154" s="252">
        <v>0</v>
      </c>
      <c r="K154" s="252">
        <v>44919</v>
      </c>
    </row>
    <row r="155" spans="1:11" ht="18" customHeight="1" hidden="1">
      <c r="A155" s="230">
        <v>321</v>
      </c>
      <c r="B155" s="240">
        <v>55</v>
      </c>
      <c r="C155" s="240">
        <v>930</v>
      </c>
      <c r="D155" s="241">
        <v>70499</v>
      </c>
      <c r="E155" s="244" t="s">
        <v>343</v>
      </c>
      <c r="F155" s="252">
        <v>0</v>
      </c>
      <c r="G155" s="252">
        <v>0</v>
      </c>
      <c r="H155" s="252">
        <v>0</v>
      </c>
      <c r="I155" s="252">
        <v>0</v>
      </c>
      <c r="J155" s="252">
        <v>0</v>
      </c>
      <c r="K155" s="252">
        <v>513360</v>
      </c>
    </row>
    <row r="156" spans="1:11" ht="18" customHeight="1" hidden="1">
      <c r="A156" s="230">
        <v>321</v>
      </c>
      <c r="B156" s="240">
        <v>55</v>
      </c>
      <c r="C156" s="240">
        <v>930</v>
      </c>
      <c r="D156" s="241">
        <v>70499</v>
      </c>
      <c r="E156" s="244" t="s">
        <v>486</v>
      </c>
      <c r="F156" s="252">
        <v>0</v>
      </c>
      <c r="G156" s="252">
        <v>0</v>
      </c>
      <c r="H156" s="252">
        <v>0</v>
      </c>
      <c r="I156" s="252">
        <v>49350</v>
      </c>
      <c r="J156" s="252">
        <v>0</v>
      </c>
      <c r="K156" s="252">
        <v>68483.65</v>
      </c>
    </row>
    <row r="157" spans="1:11" ht="18" customHeight="1" hidden="1">
      <c r="A157" s="230">
        <v>321</v>
      </c>
      <c r="B157" s="240">
        <v>55</v>
      </c>
      <c r="C157" s="240">
        <v>930</v>
      </c>
      <c r="D157" s="241">
        <v>70499</v>
      </c>
      <c r="E157" s="244" t="s">
        <v>487</v>
      </c>
      <c r="F157" s="252">
        <v>0</v>
      </c>
      <c r="G157" s="252">
        <v>0</v>
      </c>
      <c r="H157" s="252">
        <v>0</v>
      </c>
      <c r="I157" s="252">
        <v>35250</v>
      </c>
      <c r="J157" s="252">
        <v>0</v>
      </c>
      <c r="K157" s="252">
        <v>99306.64</v>
      </c>
    </row>
    <row r="158" spans="1:11" ht="18" customHeight="1" hidden="1">
      <c r="A158" s="230">
        <v>321</v>
      </c>
      <c r="B158" s="240">
        <v>55</v>
      </c>
      <c r="C158" s="240">
        <v>930</v>
      </c>
      <c r="D158" s="241">
        <v>70499</v>
      </c>
      <c r="E158" s="244" t="s">
        <v>346</v>
      </c>
      <c r="F158" s="252">
        <v>0</v>
      </c>
      <c r="G158" s="252">
        <v>7880.42</v>
      </c>
      <c r="H158" s="252">
        <v>0</v>
      </c>
      <c r="I158" s="252">
        <v>58797</v>
      </c>
      <c r="J158" s="252">
        <v>0</v>
      </c>
      <c r="K158" s="252">
        <v>43455.924</v>
      </c>
    </row>
    <row r="159" spans="1:11" ht="18" customHeight="1" hidden="1">
      <c r="A159" s="230">
        <v>321</v>
      </c>
      <c r="B159" s="240">
        <v>55</v>
      </c>
      <c r="C159" s="240">
        <v>930</v>
      </c>
      <c r="D159" s="241">
        <v>70499</v>
      </c>
      <c r="E159" s="244" t="s">
        <v>347</v>
      </c>
      <c r="F159" s="252">
        <v>0</v>
      </c>
      <c r="G159" s="252"/>
      <c r="H159" s="252">
        <v>0</v>
      </c>
      <c r="I159" s="252">
        <v>35250</v>
      </c>
      <c r="J159" s="252">
        <v>0</v>
      </c>
      <c r="K159" s="252">
        <v>60355.45</v>
      </c>
    </row>
    <row r="160" spans="1:11" ht="18" customHeight="1" hidden="1">
      <c r="A160" s="230"/>
      <c r="B160" s="240"/>
      <c r="C160" s="240"/>
      <c r="D160" s="241"/>
      <c r="E160" s="244"/>
      <c r="F160" s="252">
        <v>0</v>
      </c>
      <c r="G160" s="252">
        <v>0</v>
      </c>
      <c r="H160" s="252"/>
      <c r="I160" s="252"/>
      <c r="J160" s="252"/>
      <c r="K160" s="252"/>
    </row>
    <row r="161" spans="1:11" ht="33" hidden="1">
      <c r="A161" s="230"/>
      <c r="B161" s="240"/>
      <c r="C161" s="240"/>
      <c r="D161" s="241"/>
      <c r="E161" s="245" t="s">
        <v>320</v>
      </c>
      <c r="F161" s="249">
        <f aca="true" t="shared" si="15" ref="F161:K161">F162</f>
        <v>0</v>
      </c>
      <c r="G161" s="249">
        <f t="shared" si="15"/>
        <v>92205.8</v>
      </c>
      <c r="H161" s="249">
        <f t="shared" si="15"/>
        <v>0</v>
      </c>
      <c r="I161" s="249">
        <f t="shared" si="15"/>
        <v>423000</v>
      </c>
      <c r="J161" s="249">
        <f t="shared" si="15"/>
        <v>0</v>
      </c>
      <c r="K161" s="249">
        <f t="shared" si="15"/>
        <v>855600</v>
      </c>
    </row>
    <row r="162" spans="1:11" ht="18" customHeight="1" hidden="1">
      <c r="A162" s="230"/>
      <c r="B162" s="240"/>
      <c r="C162" s="240"/>
      <c r="D162" s="241"/>
      <c r="E162" s="246" t="s">
        <v>313</v>
      </c>
      <c r="F162" s="251">
        <f aca="true" t="shared" si="16" ref="F162:K162">SUM(F163:F164)</f>
        <v>0</v>
      </c>
      <c r="G162" s="251">
        <f t="shared" si="16"/>
        <v>92205.8</v>
      </c>
      <c r="H162" s="251">
        <f t="shared" si="16"/>
        <v>0</v>
      </c>
      <c r="I162" s="251">
        <f t="shared" si="16"/>
        <v>423000</v>
      </c>
      <c r="J162" s="251">
        <f t="shared" si="16"/>
        <v>0</v>
      </c>
      <c r="K162" s="251">
        <f t="shared" si="16"/>
        <v>855600</v>
      </c>
    </row>
    <row r="163" spans="1:11" ht="18" customHeight="1" hidden="1">
      <c r="A163" s="230">
        <v>311</v>
      </c>
      <c r="B163" s="240">
        <v>63</v>
      </c>
      <c r="C163" s="240">
        <v>920</v>
      </c>
      <c r="D163" s="241">
        <v>70499</v>
      </c>
      <c r="E163" s="244" t="s">
        <v>488</v>
      </c>
      <c r="F163" s="252">
        <v>0</v>
      </c>
      <c r="G163" s="252">
        <v>92205.8</v>
      </c>
      <c r="H163" s="252">
        <v>0</v>
      </c>
      <c r="I163" s="252">
        <v>423000</v>
      </c>
      <c r="J163" s="252">
        <v>0</v>
      </c>
      <c r="K163" s="252">
        <v>401775.5</v>
      </c>
    </row>
    <row r="164" spans="1:11" ht="18" customHeight="1" hidden="1">
      <c r="A164" s="230">
        <v>311</v>
      </c>
      <c r="B164" s="240">
        <v>63</v>
      </c>
      <c r="C164" s="240">
        <v>930</v>
      </c>
      <c r="D164" s="241">
        <v>70499</v>
      </c>
      <c r="E164" s="244" t="s">
        <v>489</v>
      </c>
      <c r="F164" s="252">
        <v>0</v>
      </c>
      <c r="G164" s="252">
        <v>0</v>
      </c>
      <c r="H164" s="252">
        <v>0</v>
      </c>
      <c r="I164" s="252">
        <v>0</v>
      </c>
      <c r="J164" s="252">
        <v>0</v>
      </c>
      <c r="K164" s="252">
        <v>453824.5</v>
      </c>
    </row>
    <row r="165" spans="1:11" ht="16.5" hidden="1">
      <c r="A165" s="230"/>
      <c r="B165" s="240"/>
      <c r="C165" s="240"/>
      <c r="D165" s="241"/>
      <c r="E165" s="246"/>
      <c r="F165" s="252">
        <v>0</v>
      </c>
      <c r="G165" s="252">
        <v>0</v>
      </c>
      <c r="H165" s="252"/>
      <c r="I165" s="252"/>
      <c r="J165" s="252"/>
      <c r="K165" s="252"/>
    </row>
    <row r="166" spans="1:11" ht="33" hidden="1">
      <c r="A166" s="230"/>
      <c r="B166" s="242"/>
      <c r="C166" s="242"/>
      <c r="D166" s="241"/>
      <c r="E166" s="245" t="s">
        <v>350</v>
      </c>
      <c r="F166" s="248">
        <f aca="true" t="shared" si="17" ref="F166:K166">F167</f>
        <v>211031.7</v>
      </c>
      <c r="G166" s="248">
        <f t="shared" si="17"/>
        <v>1285757.88</v>
      </c>
      <c r="H166" s="248">
        <f t="shared" si="17"/>
        <v>114250</v>
      </c>
      <c r="I166" s="248">
        <f t="shared" si="17"/>
        <v>1106850</v>
      </c>
      <c r="J166" s="248">
        <f t="shared" si="17"/>
        <v>37803.26</v>
      </c>
      <c r="K166" s="248">
        <f t="shared" si="17"/>
        <v>1109520.69</v>
      </c>
    </row>
    <row r="167" spans="1:11" ht="18" customHeight="1" hidden="1">
      <c r="A167" s="230"/>
      <c r="B167" s="242"/>
      <c r="C167" s="242"/>
      <c r="D167" s="241"/>
      <c r="E167" s="246" t="s">
        <v>313</v>
      </c>
      <c r="F167" s="250">
        <f>SUM(F168:F192)</f>
        <v>211031.7</v>
      </c>
      <c r="G167" s="250">
        <f>SUM(G168:G188)</f>
        <v>1285757.88</v>
      </c>
      <c r="H167" s="250">
        <f>SUM(H168:H188)</f>
        <v>114250</v>
      </c>
      <c r="I167" s="250">
        <f>SUM(I168:I188)</f>
        <v>1106850</v>
      </c>
      <c r="J167" s="250">
        <f>SUM(J168:J188)</f>
        <v>37803.26</v>
      </c>
      <c r="K167" s="250">
        <f>SUM(K168:K188)</f>
        <v>1109520.69</v>
      </c>
    </row>
    <row r="168" spans="1:11" ht="18" customHeight="1" hidden="1">
      <c r="A168" s="230">
        <v>311</v>
      </c>
      <c r="B168" s="240">
        <v>51</v>
      </c>
      <c r="C168" s="240">
        <v>920</v>
      </c>
      <c r="D168" s="241">
        <v>70499</v>
      </c>
      <c r="E168" s="247" t="s">
        <v>301</v>
      </c>
      <c r="F168" s="252">
        <v>0</v>
      </c>
      <c r="G168" s="252">
        <v>76780</v>
      </c>
      <c r="H168" s="252">
        <v>0</v>
      </c>
      <c r="I168" s="252">
        <v>0</v>
      </c>
      <c r="J168" s="252">
        <v>0</v>
      </c>
      <c r="K168" s="252">
        <v>0</v>
      </c>
    </row>
    <row r="169" spans="1:11" ht="18" customHeight="1" hidden="1">
      <c r="A169" s="230">
        <v>311</v>
      </c>
      <c r="B169" s="240">
        <v>51</v>
      </c>
      <c r="C169" s="240">
        <v>930</v>
      </c>
      <c r="D169" s="241">
        <v>70499</v>
      </c>
      <c r="E169" s="247" t="s">
        <v>300</v>
      </c>
      <c r="F169" s="252">
        <v>0</v>
      </c>
      <c r="G169" s="252">
        <v>0</v>
      </c>
      <c r="H169" s="252">
        <v>0</v>
      </c>
      <c r="I169" s="252">
        <v>211500</v>
      </c>
      <c r="J169" s="252">
        <v>0</v>
      </c>
      <c r="K169" s="252">
        <v>149730</v>
      </c>
    </row>
    <row r="170" spans="1:11" ht="18" customHeight="1" hidden="1">
      <c r="A170" s="230">
        <v>311</v>
      </c>
      <c r="B170" s="240">
        <v>51</v>
      </c>
      <c r="C170" s="240">
        <v>920</v>
      </c>
      <c r="D170" s="241">
        <v>70499</v>
      </c>
      <c r="E170" s="247" t="s">
        <v>299</v>
      </c>
      <c r="F170" s="252">
        <v>0</v>
      </c>
      <c r="G170" s="252">
        <v>46068</v>
      </c>
      <c r="H170" s="252"/>
      <c r="I170" s="252">
        <v>91650</v>
      </c>
      <c r="J170" s="252"/>
      <c r="K170" s="252"/>
    </row>
    <row r="171" spans="1:11" ht="16.5" hidden="1">
      <c r="A171" s="230">
        <v>311</v>
      </c>
      <c r="B171" s="240">
        <v>51</v>
      </c>
      <c r="C171" s="240">
        <v>910</v>
      </c>
      <c r="D171" s="241">
        <v>70499</v>
      </c>
      <c r="E171" s="247" t="s">
        <v>298</v>
      </c>
      <c r="F171" s="252">
        <v>27920</v>
      </c>
      <c r="G171" s="252">
        <v>0</v>
      </c>
      <c r="H171" s="252">
        <v>46530</v>
      </c>
      <c r="I171" s="252">
        <v>0</v>
      </c>
      <c r="J171" s="252">
        <v>33724.9</v>
      </c>
      <c r="K171" s="258">
        <v>0</v>
      </c>
    </row>
    <row r="172" spans="1:11" ht="18" customHeight="1" hidden="1">
      <c r="A172" s="230">
        <v>311</v>
      </c>
      <c r="B172" s="240">
        <v>51</v>
      </c>
      <c r="C172" s="240">
        <v>930</v>
      </c>
      <c r="D172" s="241">
        <v>70499</v>
      </c>
      <c r="E172" s="247" t="s">
        <v>297</v>
      </c>
      <c r="F172" s="252">
        <v>0</v>
      </c>
      <c r="G172" s="252">
        <v>69800</v>
      </c>
      <c r="H172" s="252">
        <v>0</v>
      </c>
      <c r="I172" s="252">
        <v>211500</v>
      </c>
      <c r="J172" s="252">
        <v>0</v>
      </c>
      <c r="K172" s="252">
        <v>213900</v>
      </c>
    </row>
    <row r="173" spans="1:11" ht="18" customHeight="1" hidden="1">
      <c r="A173" s="230">
        <v>311</v>
      </c>
      <c r="B173" s="240">
        <v>51</v>
      </c>
      <c r="C173" s="240">
        <v>910</v>
      </c>
      <c r="D173" s="241">
        <v>70499</v>
      </c>
      <c r="E173" s="244" t="s">
        <v>530</v>
      </c>
      <c r="F173" s="252">
        <v>97720</v>
      </c>
      <c r="G173" s="252">
        <v>0</v>
      </c>
      <c r="H173" s="252">
        <v>63500</v>
      </c>
      <c r="I173" s="252">
        <v>0</v>
      </c>
      <c r="J173" s="252">
        <v>2046.31</v>
      </c>
      <c r="K173" s="252">
        <v>0</v>
      </c>
    </row>
    <row r="174" spans="1:11" ht="18" customHeight="1" hidden="1">
      <c r="A174" s="230">
        <v>311</v>
      </c>
      <c r="B174" s="240">
        <v>51</v>
      </c>
      <c r="C174" s="240">
        <v>920</v>
      </c>
      <c r="D174" s="241">
        <v>70499</v>
      </c>
      <c r="E174" s="244" t="s">
        <v>531</v>
      </c>
      <c r="F174" s="252">
        <v>0</v>
      </c>
      <c r="G174" s="252">
        <v>142112.8</v>
      </c>
      <c r="H174" s="252">
        <v>0</v>
      </c>
      <c r="I174" s="252">
        <v>0</v>
      </c>
      <c r="J174" s="252">
        <v>0</v>
      </c>
      <c r="K174" s="252">
        <v>0</v>
      </c>
    </row>
    <row r="175" spans="1:11" ht="18" customHeight="1" hidden="1">
      <c r="A175" s="230">
        <v>311</v>
      </c>
      <c r="B175" s="240">
        <v>51</v>
      </c>
      <c r="C175" s="240">
        <v>930</v>
      </c>
      <c r="D175" s="241">
        <v>70499</v>
      </c>
      <c r="E175" s="244" t="s">
        <v>532</v>
      </c>
      <c r="F175" s="252">
        <v>0</v>
      </c>
      <c r="G175" s="252">
        <v>120056</v>
      </c>
      <c r="H175" s="252">
        <v>0</v>
      </c>
      <c r="I175" s="252">
        <v>183300</v>
      </c>
      <c r="J175" s="252">
        <v>0</v>
      </c>
      <c r="K175" s="252">
        <v>7130</v>
      </c>
    </row>
    <row r="176" spans="1:11" ht="16.5" hidden="1">
      <c r="A176" s="230">
        <v>311</v>
      </c>
      <c r="B176" s="240">
        <v>51</v>
      </c>
      <c r="C176" s="240">
        <v>911</v>
      </c>
      <c r="D176" s="241">
        <v>70499</v>
      </c>
      <c r="E176" s="244" t="s">
        <v>490</v>
      </c>
      <c r="F176" s="252">
        <v>1500.7</v>
      </c>
      <c r="G176" s="252">
        <v>0</v>
      </c>
      <c r="H176" s="248"/>
      <c r="I176" s="248"/>
      <c r="J176" s="248"/>
      <c r="K176" s="248"/>
    </row>
    <row r="177" spans="1:11" ht="18" customHeight="1" hidden="1">
      <c r="A177" s="230">
        <v>311</v>
      </c>
      <c r="B177" s="240">
        <v>51</v>
      </c>
      <c r="C177" s="240">
        <v>931</v>
      </c>
      <c r="D177" s="241">
        <v>70499</v>
      </c>
      <c r="E177" s="244" t="s">
        <v>491</v>
      </c>
      <c r="F177" s="252">
        <v>0</v>
      </c>
      <c r="G177" s="252">
        <v>40895.82</v>
      </c>
      <c r="H177" s="250"/>
      <c r="I177" s="250"/>
      <c r="J177" s="250"/>
      <c r="K177" s="250"/>
    </row>
    <row r="178" spans="1:11" ht="18" customHeight="1" hidden="1">
      <c r="A178" s="230">
        <v>311</v>
      </c>
      <c r="B178" s="240">
        <v>51</v>
      </c>
      <c r="C178" s="240">
        <v>911</v>
      </c>
      <c r="D178" s="241">
        <v>70499</v>
      </c>
      <c r="E178" s="244" t="s">
        <v>92</v>
      </c>
      <c r="F178" s="252">
        <v>3839</v>
      </c>
      <c r="G178" s="252">
        <v>0</v>
      </c>
      <c r="H178" s="252">
        <v>2820</v>
      </c>
      <c r="I178" s="252">
        <v>0</v>
      </c>
      <c r="J178" s="252">
        <v>0</v>
      </c>
      <c r="K178" s="252">
        <v>0</v>
      </c>
    </row>
    <row r="179" spans="1:11" ht="18" customHeight="1" hidden="1">
      <c r="A179" s="230">
        <v>311</v>
      </c>
      <c r="B179" s="240">
        <v>51</v>
      </c>
      <c r="C179" s="240">
        <v>921</v>
      </c>
      <c r="D179" s="241">
        <v>70499</v>
      </c>
      <c r="E179" s="244" t="s">
        <v>223</v>
      </c>
      <c r="F179" s="252">
        <v>0</v>
      </c>
      <c r="G179" s="252">
        <v>79669.72</v>
      </c>
      <c r="H179" s="252">
        <v>0</v>
      </c>
      <c r="I179" s="252">
        <v>42300</v>
      </c>
      <c r="J179" s="252">
        <v>0</v>
      </c>
      <c r="K179" s="252">
        <v>0</v>
      </c>
    </row>
    <row r="180" spans="1:11" ht="18" customHeight="1" hidden="1">
      <c r="A180" s="230">
        <v>311</v>
      </c>
      <c r="B180" s="240">
        <v>51</v>
      </c>
      <c r="C180" s="240">
        <v>921</v>
      </c>
      <c r="D180" s="241">
        <v>70499</v>
      </c>
      <c r="E180" s="244" t="s">
        <v>224</v>
      </c>
      <c r="F180" s="252">
        <v>0</v>
      </c>
      <c r="G180" s="252">
        <v>238806.74</v>
      </c>
      <c r="H180" s="252">
        <v>0</v>
      </c>
      <c r="I180" s="252">
        <v>0</v>
      </c>
      <c r="J180" s="252">
        <v>0</v>
      </c>
      <c r="K180" s="252">
        <v>0</v>
      </c>
    </row>
    <row r="181" spans="1:11" ht="18" customHeight="1" hidden="1">
      <c r="A181" s="230">
        <v>311</v>
      </c>
      <c r="B181" s="240">
        <v>51</v>
      </c>
      <c r="C181" s="240">
        <v>931</v>
      </c>
      <c r="D181" s="241">
        <v>70499</v>
      </c>
      <c r="E181" s="244" t="s">
        <v>93</v>
      </c>
      <c r="F181" s="252">
        <v>0</v>
      </c>
      <c r="G181" s="252">
        <v>174500</v>
      </c>
      <c r="H181" s="252">
        <v>0</v>
      </c>
      <c r="I181" s="252">
        <v>84600</v>
      </c>
      <c r="J181" s="252">
        <v>0</v>
      </c>
      <c r="K181" s="252">
        <v>0</v>
      </c>
    </row>
    <row r="182" spans="1:11" ht="18" customHeight="1" hidden="1">
      <c r="A182" s="230">
        <v>311</v>
      </c>
      <c r="B182" s="240">
        <v>51</v>
      </c>
      <c r="C182" s="240">
        <v>911</v>
      </c>
      <c r="D182" s="241">
        <v>70499</v>
      </c>
      <c r="E182" s="244" t="s">
        <v>533</v>
      </c>
      <c r="F182" s="252">
        <v>0</v>
      </c>
      <c r="G182" s="252">
        <v>0</v>
      </c>
      <c r="H182" s="252">
        <v>1400</v>
      </c>
      <c r="I182" s="252">
        <v>0</v>
      </c>
      <c r="J182" s="252">
        <v>2032.05</v>
      </c>
      <c r="K182" s="252">
        <v>0</v>
      </c>
    </row>
    <row r="183" spans="1:11" ht="18" customHeight="1" hidden="1">
      <c r="A183" s="230">
        <v>311</v>
      </c>
      <c r="B183" s="240">
        <v>51</v>
      </c>
      <c r="C183" s="240">
        <v>921</v>
      </c>
      <c r="D183" s="241">
        <v>70499</v>
      </c>
      <c r="E183" s="244" t="s">
        <v>534</v>
      </c>
      <c r="F183" s="252">
        <v>0</v>
      </c>
      <c r="G183" s="252">
        <v>34900</v>
      </c>
      <c r="H183" s="252">
        <v>0</v>
      </c>
      <c r="I183" s="252">
        <v>70500</v>
      </c>
      <c r="J183" s="252">
        <v>0</v>
      </c>
      <c r="K183" s="252">
        <v>105773.55</v>
      </c>
    </row>
    <row r="184" spans="1:11" ht="18" customHeight="1" hidden="1">
      <c r="A184" s="230">
        <v>311</v>
      </c>
      <c r="B184" s="240">
        <v>51</v>
      </c>
      <c r="C184" s="240">
        <v>931</v>
      </c>
      <c r="D184" s="241">
        <v>70499</v>
      </c>
      <c r="E184" s="244" t="s">
        <v>535</v>
      </c>
      <c r="F184" s="252">
        <v>0</v>
      </c>
      <c r="G184" s="252">
        <v>13960</v>
      </c>
      <c r="H184" s="252">
        <v>0</v>
      </c>
      <c r="I184" s="252">
        <v>70500</v>
      </c>
      <c r="J184" s="252">
        <v>0</v>
      </c>
      <c r="K184" s="252">
        <v>74508.5</v>
      </c>
    </row>
    <row r="185" spans="1:11" ht="33" hidden="1">
      <c r="A185" s="230">
        <v>311</v>
      </c>
      <c r="B185" s="240">
        <v>51</v>
      </c>
      <c r="C185" s="240">
        <v>931</v>
      </c>
      <c r="D185" s="241">
        <v>70499</v>
      </c>
      <c r="E185" s="244" t="s">
        <v>272</v>
      </c>
      <c r="F185" s="252">
        <v>0</v>
      </c>
      <c r="G185" s="252">
        <v>178408.8</v>
      </c>
      <c r="H185" s="252"/>
      <c r="I185" s="252"/>
      <c r="J185" s="252"/>
      <c r="K185" s="252"/>
    </row>
    <row r="186" spans="1:33" ht="18" customHeight="1" hidden="1">
      <c r="A186" s="230">
        <v>311</v>
      </c>
      <c r="B186" s="240">
        <v>51</v>
      </c>
      <c r="C186" s="240">
        <v>920</v>
      </c>
      <c r="D186" s="241">
        <v>70499</v>
      </c>
      <c r="E186" s="244" t="s">
        <v>492</v>
      </c>
      <c r="F186" s="252">
        <v>0</v>
      </c>
      <c r="G186" s="252">
        <v>69800</v>
      </c>
      <c r="H186" s="252">
        <v>0</v>
      </c>
      <c r="I186" s="252">
        <v>141000</v>
      </c>
      <c r="J186" s="252">
        <v>0</v>
      </c>
      <c r="K186" s="252">
        <v>237628.64</v>
      </c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</row>
    <row r="187" spans="1:33" ht="18" customHeight="1" hidden="1">
      <c r="A187" s="230">
        <v>311</v>
      </c>
      <c r="B187" s="240">
        <v>51</v>
      </c>
      <c r="C187" s="240">
        <v>920</v>
      </c>
      <c r="D187" s="241">
        <v>70499</v>
      </c>
      <c r="E187" s="244" t="s">
        <v>520</v>
      </c>
      <c r="F187" s="252"/>
      <c r="G187" s="252"/>
      <c r="H187" s="252"/>
      <c r="I187" s="252"/>
      <c r="J187" s="252"/>
      <c r="K187" s="252">
        <v>249550</v>
      </c>
      <c r="P187" s="201"/>
      <c r="Q187" s="201"/>
      <c r="R187" s="201"/>
      <c r="S187" s="201"/>
      <c r="T187" s="201"/>
      <c r="U187" s="201"/>
      <c r="V187" s="201"/>
      <c r="W187" s="201"/>
      <c r="X187" s="201"/>
      <c r="Y187" s="201"/>
      <c r="Z187" s="201"/>
      <c r="AA187" s="201"/>
      <c r="AB187" s="201"/>
      <c r="AC187" s="201"/>
      <c r="AD187" s="201"/>
      <c r="AE187" s="201"/>
      <c r="AF187" s="201"/>
      <c r="AG187" s="201"/>
    </row>
    <row r="188" spans="1:33" ht="18" customHeight="1" hidden="1">
      <c r="A188" s="230">
        <v>311</v>
      </c>
      <c r="B188" s="240">
        <v>51</v>
      </c>
      <c r="C188" s="240">
        <v>930</v>
      </c>
      <c r="D188" s="241">
        <v>70499</v>
      </c>
      <c r="E188" s="244" t="s">
        <v>521</v>
      </c>
      <c r="F188" s="252"/>
      <c r="G188" s="252"/>
      <c r="H188" s="252"/>
      <c r="I188" s="252"/>
      <c r="J188" s="252"/>
      <c r="K188" s="252">
        <v>71300</v>
      </c>
      <c r="P188" s="201"/>
      <c r="Q188" s="201"/>
      <c r="R188" s="201"/>
      <c r="S188" s="201"/>
      <c r="T188" s="201"/>
      <c r="U188" s="201"/>
      <c r="V188" s="201"/>
      <c r="W188" s="201"/>
      <c r="X188" s="201"/>
      <c r="Y188" s="201"/>
      <c r="Z188" s="201"/>
      <c r="AA188" s="201"/>
      <c r="AB188" s="201"/>
      <c r="AC188" s="201"/>
      <c r="AD188" s="201"/>
      <c r="AE188" s="201"/>
      <c r="AF188" s="201"/>
      <c r="AG188" s="201"/>
    </row>
    <row r="189" spans="1:33" ht="18" customHeight="1" hidden="1">
      <c r="A189" s="230">
        <v>311</v>
      </c>
      <c r="B189" s="240">
        <v>51</v>
      </c>
      <c r="C189" s="240">
        <v>910</v>
      </c>
      <c r="D189" s="241">
        <v>70499</v>
      </c>
      <c r="E189" s="244" t="s">
        <v>446</v>
      </c>
      <c r="F189" s="252">
        <v>65600</v>
      </c>
      <c r="G189" s="252"/>
      <c r="H189" s="252"/>
      <c r="I189" s="252"/>
      <c r="J189" s="252"/>
      <c r="K189" s="252"/>
      <c r="P189" s="201"/>
      <c r="Q189" s="201"/>
      <c r="R189" s="201"/>
      <c r="S189" s="201"/>
      <c r="T189" s="201"/>
      <c r="U189" s="201"/>
      <c r="V189" s="201"/>
      <c r="W189" s="201"/>
      <c r="X189" s="201"/>
      <c r="Y189" s="201"/>
      <c r="Z189" s="201"/>
      <c r="AA189" s="201"/>
      <c r="AB189" s="201"/>
      <c r="AC189" s="201"/>
      <c r="AD189" s="201"/>
      <c r="AE189" s="201"/>
      <c r="AF189" s="201"/>
      <c r="AG189" s="201"/>
    </row>
    <row r="190" spans="1:33" ht="18" customHeight="1" hidden="1">
      <c r="A190" s="230">
        <v>311</v>
      </c>
      <c r="B190" s="240">
        <v>51</v>
      </c>
      <c r="C190" s="240">
        <v>910</v>
      </c>
      <c r="D190" s="241">
        <v>70499</v>
      </c>
      <c r="E190" s="244" t="s">
        <v>449</v>
      </c>
      <c r="F190" s="252">
        <v>7052</v>
      </c>
      <c r="G190" s="252"/>
      <c r="H190" s="252"/>
      <c r="I190" s="252"/>
      <c r="J190" s="252"/>
      <c r="K190" s="252"/>
      <c r="P190" s="201"/>
      <c r="Q190" s="201"/>
      <c r="R190" s="201"/>
      <c r="S190" s="201"/>
      <c r="T190" s="201"/>
      <c r="U190" s="201"/>
      <c r="V190" s="201"/>
      <c r="W190" s="201"/>
      <c r="X190" s="201"/>
      <c r="Y190" s="201"/>
      <c r="Z190" s="201"/>
      <c r="AA190" s="201"/>
      <c r="AB190" s="201"/>
      <c r="AC190" s="201"/>
      <c r="AD190" s="201"/>
      <c r="AE190" s="201"/>
      <c r="AF190" s="201"/>
      <c r="AG190" s="201"/>
    </row>
    <row r="191" spans="1:33" ht="18" customHeight="1" hidden="1">
      <c r="A191" s="230">
        <v>311</v>
      </c>
      <c r="B191" s="240">
        <v>51</v>
      </c>
      <c r="C191" s="240">
        <v>910</v>
      </c>
      <c r="D191" s="241">
        <v>70499</v>
      </c>
      <c r="E191" s="244" t="s">
        <v>452</v>
      </c>
      <c r="F191" s="252">
        <v>5300</v>
      </c>
      <c r="G191" s="252"/>
      <c r="H191" s="252"/>
      <c r="I191" s="252"/>
      <c r="J191" s="252"/>
      <c r="K191" s="252"/>
      <c r="P191" s="201"/>
      <c r="Q191" s="201"/>
      <c r="R191" s="201"/>
      <c r="S191" s="201"/>
      <c r="T191" s="201"/>
      <c r="U191" s="201"/>
      <c r="V191" s="201"/>
      <c r="W191" s="201"/>
      <c r="X191" s="201"/>
      <c r="Y191" s="201"/>
      <c r="Z191" s="201"/>
      <c r="AA191" s="201"/>
      <c r="AB191" s="201"/>
      <c r="AC191" s="201"/>
      <c r="AD191" s="201"/>
      <c r="AE191" s="201"/>
      <c r="AF191" s="201"/>
      <c r="AG191" s="201"/>
    </row>
    <row r="192" spans="1:33" ht="33.75" customHeight="1" hidden="1">
      <c r="A192" s="230">
        <v>311</v>
      </c>
      <c r="B192" s="240">
        <v>51</v>
      </c>
      <c r="C192" s="240">
        <v>910</v>
      </c>
      <c r="D192" s="241">
        <v>70499</v>
      </c>
      <c r="E192" s="244" t="s">
        <v>516</v>
      </c>
      <c r="F192" s="252">
        <v>2100</v>
      </c>
      <c r="G192" s="252"/>
      <c r="H192" s="252"/>
      <c r="I192" s="252"/>
      <c r="J192" s="252"/>
      <c r="K192" s="252"/>
      <c r="P192" s="201"/>
      <c r="Q192" s="201"/>
      <c r="R192" s="201"/>
      <c r="S192" s="201"/>
      <c r="T192" s="201"/>
      <c r="U192" s="201"/>
      <c r="V192" s="201"/>
      <c r="W192" s="201"/>
      <c r="X192" s="201"/>
      <c r="Y192" s="201"/>
      <c r="Z192" s="201"/>
      <c r="AA192" s="201"/>
      <c r="AB192" s="201"/>
      <c r="AC192" s="201"/>
      <c r="AD192" s="201"/>
      <c r="AE192" s="201"/>
      <c r="AF192" s="201"/>
      <c r="AG192" s="201"/>
    </row>
    <row r="193" spans="1:33" ht="18" customHeight="1" hidden="1">
      <c r="A193" s="230"/>
      <c r="B193" s="240"/>
      <c r="C193" s="240"/>
      <c r="D193" s="241"/>
      <c r="E193" s="244"/>
      <c r="F193" s="252"/>
      <c r="G193" s="252"/>
      <c r="H193" s="252"/>
      <c r="I193" s="252"/>
      <c r="J193" s="252"/>
      <c r="K193" s="252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</row>
    <row r="194" spans="1:33" ht="33" hidden="1">
      <c r="A194" s="230"/>
      <c r="B194" s="240"/>
      <c r="C194" s="240"/>
      <c r="D194" s="241"/>
      <c r="E194" s="245" t="s">
        <v>202</v>
      </c>
      <c r="F194" s="249">
        <f aca="true" t="shared" si="18" ref="F194:K194">F195</f>
        <v>0</v>
      </c>
      <c r="G194" s="249">
        <f t="shared" si="18"/>
        <v>195440</v>
      </c>
      <c r="H194" s="249">
        <f t="shared" si="18"/>
        <v>0</v>
      </c>
      <c r="I194" s="249">
        <f t="shared" si="18"/>
        <v>282000</v>
      </c>
      <c r="J194" s="249">
        <f t="shared" si="18"/>
        <v>0</v>
      </c>
      <c r="K194" s="249">
        <f t="shared" si="18"/>
        <v>499100</v>
      </c>
      <c r="P194" s="201"/>
      <c r="Q194" s="201"/>
      <c r="R194" s="201"/>
      <c r="S194" s="201"/>
      <c r="T194" s="201"/>
      <c r="U194" s="201"/>
      <c r="V194" s="201"/>
      <c r="W194" s="201"/>
      <c r="X194" s="201"/>
      <c r="Y194" s="201"/>
      <c r="Z194" s="201"/>
      <c r="AA194" s="201"/>
      <c r="AB194" s="201"/>
      <c r="AC194" s="201"/>
      <c r="AD194" s="201"/>
      <c r="AE194" s="201"/>
      <c r="AF194" s="201"/>
      <c r="AG194" s="201"/>
    </row>
    <row r="195" spans="1:33" ht="18" customHeight="1" hidden="1">
      <c r="A195" s="230"/>
      <c r="B195" s="240"/>
      <c r="C195" s="240"/>
      <c r="D195" s="241"/>
      <c r="E195" s="246" t="s">
        <v>313</v>
      </c>
      <c r="F195" s="251">
        <f aca="true" t="shared" si="19" ref="F195:K195">SUM(F196:F197)</f>
        <v>0</v>
      </c>
      <c r="G195" s="251">
        <f t="shared" si="19"/>
        <v>195440</v>
      </c>
      <c r="H195" s="251">
        <f t="shared" si="19"/>
        <v>0</v>
      </c>
      <c r="I195" s="251">
        <f t="shared" si="19"/>
        <v>282000</v>
      </c>
      <c r="J195" s="251">
        <f t="shared" si="19"/>
        <v>0</v>
      </c>
      <c r="K195" s="251">
        <f t="shared" si="19"/>
        <v>499100</v>
      </c>
      <c r="P195" s="201"/>
      <c r="Q195" s="201"/>
      <c r="R195" s="201"/>
      <c r="S195" s="201"/>
      <c r="T195" s="201"/>
      <c r="U195" s="201"/>
      <c r="V195" s="201"/>
      <c r="W195" s="201"/>
      <c r="X195" s="201"/>
      <c r="Y195" s="201"/>
      <c r="Z195" s="201"/>
      <c r="AA195" s="201"/>
      <c r="AB195" s="201"/>
      <c r="AC195" s="201"/>
      <c r="AD195" s="201"/>
      <c r="AE195" s="201"/>
      <c r="AF195" s="201"/>
      <c r="AG195" s="201"/>
    </row>
    <row r="196" spans="1:33" ht="33" hidden="1">
      <c r="A196" s="230">
        <v>311</v>
      </c>
      <c r="B196" s="240">
        <v>52</v>
      </c>
      <c r="C196" s="240">
        <v>920</v>
      </c>
      <c r="D196" s="241">
        <v>70499</v>
      </c>
      <c r="E196" s="244" t="s">
        <v>425</v>
      </c>
      <c r="F196" s="252">
        <v>0</v>
      </c>
      <c r="G196" s="252">
        <v>174500</v>
      </c>
      <c r="H196" s="252">
        <v>0</v>
      </c>
      <c r="I196" s="252">
        <v>141000</v>
      </c>
      <c r="J196" s="252">
        <v>0</v>
      </c>
      <c r="K196" s="252">
        <v>235290</v>
      </c>
      <c r="P196" s="201"/>
      <c r="Q196" s="201"/>
      <c r="R196" s="201"/>
      <c r="S196" s="201"/>
      <c r="T196" s="201"/>
      <c r="U196" s="201"/>
      <c r="V196" s="201"/>
      <c r="W196" s="201"/>
      <c r="X196" s="201"/>
      <c r="Y196" s="201"/>
      <c r="Z196" s="201"/>
      <c r="AA196" s="201"/>
      <c r="AB196" s="201"/>
      <c r="AC196" s="201"/>
      <c r="AD196" s="201"/>
      <c r="AE196" s="201"/>
      <c r="AF196" s="201"/>
      <c r="AG196" s="201"/>
    </row>
    <row r="197" spans="1:33" ht="33" hidden="1">
      <c r="A197" s="230">
        <v>311</v>
      </c>
      <c r="B197" s="240">
        <v>52</v>
      </c>
      <c r="C197" s="240">
        <v>930</v>
      </c>
      <c r="D197" s="241">
        <v>70499</v>
      </c>
      <c r="E197" s="244" t="s">
        <v>426</v>
      </c>
      <c r="F197" s="252">
        <v>0</v>
      </c>
      <c r="G197" s="252">
        <v>20940</v>
      </c>
      <c r="H197" s="252">
        <v>0</v>
      </c>
      <c r="I197" s="252">
        <v>141000</v>
      </c>
      <c r="J197" s="252">
        <v>0</v>
      </c>
      <c r="K197" s="252">
        <v>263810</v>
      </c>
      <c r="P197" s="201"/>
      <c r="Q197" s="201"/>
      <c r="R197" s="201"/>
      <c r="S197" s="201"/>
      <c r="T197" s="201"/>
      <c r="U197" s="201"/>
      <c r="V197" s="201"/>
      <c r="W197" s="201"/>
      <c r="X197" s="201"/>
      <c r="Y197" s="201"/>
      <c r="Z197" s="201"/>
      <c r="AA197" s="201"/>
      <c r="AB197" s="201"/>
      <c r="AC197" s="201"/>
      <c r="AD197" s="201"/>
      <c r="AE197" s="201"/>
      <c r="AF197" s="201"/>
      <c r="AG197" s="201"/>
    </row>
    <row r="198" spans="1:33" ht="18" customHeight="1" hidden="1">
      <c r="A198" s="230"/>
      <c r="B198" s="240"/>
      <c r="C198" s="240"/>
      <c r="D198" s="241"/>
      <c r="E198" s="247"/>
      <c r="F198" s="252">
        <v>0</v>
      </c>
      <c r="G198" s="252">
        <v>0</v>
      </c>
      <c r="H198" s="252"/>
      <c r="I198" s="252"/>
      <c r="J198" s="252"/>
      <c r="K198" s="252"/>
      <c r="P198" s="201"/>
      <c r="Q198" s="201"/>
      <c r="R198" s="201"/>
      <c r="S198" s="201"/>
      <c r="T198" s="201"/>
      <c r="U198" s="201"/>
      <c r="V198" s="201"/>
      <c r="W198" s="201"/>
      <c r="X198" s="201"/>
      <c r="Y198" s="201"/>
      <c r="Z198" s="201"/>
      <c r="AA198" s="201"/>
      <c r="AB198" s="201"/>
      <c r="AC198" s="201"/>
      <c r="AD198" s="201"/>
      <c r="AE198" s="201"/>
      <c r="AF198" s="201"/>
      <c r="AG198" s="201"/>
    </row>
    <row r="199" spans="1:33" ht="33" hidden="1">
      <c r="A199" s="230"/>
      <c r="B199" s="240"/>
      <c r="C199" s="240"/>
      <c r="D199" s="240"/>
      <c r="E199" s="245" t="s">
        <v>152</v>
      </c>
      <c r="F199" s="249">
        <f aca="true" t="shared" si="20" ref="F199:K199">F200</f>
        <v>5396</v>
      </c>
      <c r="G199" s="249">
        <f t="shared" si="20"/>
        <v>244677.618</v>
      </c>
      <c r="H199" s="249">
        <f t="shared" si="20"/>
        <v>3900</v>
      </c>
      <c r="I199" s="249">
        <f t="shared" si="20"/>
        <v>916499.8563999999</v>
      </c>
      <c r="J199" s="249">
        <f t="shared" si="20"/>
        <v>0</v>
      </c>
      <c r="K199" s="249">
        <f t="shared" si="20"/>
        <v>1382655.46944</v>
      </c>
      <c r="P199" s="201"/>
      <c r="Q199" s="201"/>
      <c r="R199" s="201"/>
      <c r="S199" s="201"/>
      <c r="T199" s="201"/>
      <c r="U199" s="201"/>
      <c r="V199" s="201"/>
      <c r="W199" s="201"/>
      <c r="X199" s="201"/>
      <c r="Y199" s="201"/>
      <c r="Z199" s="201"/>
      <c r="AA199" s="201"/>
      <c r="AB199" s="201"/>
      <c r="AC199" s="201"/>
      <c r="AD199" s="201"/>
      <c r="AE199" s="201"/>
      <c r="AF199" s="201"/>
      <c r="AG199" s="201"/>
    </row>
    <row r="200" spans="1:33" ht="18" customHeight="1" hidden="1">
      <c r="A200" s="230"/>
      <c r="B200" s="240"/>
      <c r="C200" s="240"/>
      <c r="D200" s="240"/>
      <c r="E200" s="246" t="s">
        <v>313</v>
      </c>
      <c r="F200" s="251">
        <f aca="true" t="shared" si="21" ref="F200:K200">SUM(F201:F208)</f>
        <v>5396</v>
      </c>
      <c r="G200" s="251">
        <f t="shared" si="21"/>
        <v>244677.618</v>
      </c>
      <c r="H200" s="251">
        <f t="shared" si="21"/>
        <v>3900</v>
      </c>
      <c r="I200" s="251">
        <f t="shared" si="21"/>
        <v>916499.8563999999</v>
      </c>
      <c r="J200" s="251">
        <f t="shared" si="21"/>
        <v>0</v>
      </c>
      <c r="K200" s="251">
        <f t="shared" si="21"/>
        <v>1382655.46944</v>
      </c>
      <c r="P200" s="201"/>
      <c r="Q200" s="201"/>
      <c r="R200" s="201"/>
      <c r="S200" s="201"/>
      <c r="T200" s="201"/>
      <c r="U200" s="201"/>
      <c r="V200" s="201"/>
      <c r="W200" s="201"/>
      <c r="X200" s="201"/>
      <c r="Y200" s="201"/>
      <c r="Z200" s="201"/>
      <c r="AA200" s="201"/>
      <c r="AB200" s="201"/>
      <c r="AC200" s="201"/>
      <c r="AD200" s="201"/>
      <c r="AE200" s="201"/>
      <c r="AF200" s="201"/>
      <c r="AG200" s="201"/>
    </row>
    <row r="201" spans="1:33" ht="33" hidden="1">
      <c r="A201" s="230">
        <v>311</v>
      </c>
      <c r="B201" s="240">
        <v>60</v>
      </c>
      <c r="C201" s="240">
        <v>921</v>
      </c>
      <c r="D201" s="241">
        <v>70499</v>
      </c>
      <c r="E201" s="244" t="s">
        <v>403</v>
      </c>
      <c r="F201" s="252">
        <v>0</v>
      </c>
      <c r="G201" s="252">
        <v>49718.54</v>
      </c>
      <c r="H201" s="252">
        <v>0</v>
      </c>
      <c r="I201" s="252">
        <v>141000</v>
      </c>
      <c r="J201" s="252">
        <v>0</v>
      </c>
      <c r="K201" s="252">
        <v>60283.936</v>
      </c>
      <c r="P201" s="201"/>
      <c r="Q201" s="201"/>
      <c r="R201" s="201"/>
      <c r="S201" s="201"/>
      <c r="T201" s="201"/>
      <c r="U201" s="201"/>
      <c r="V201" s="201"/>
      <c r="W201" s="201"/>
      <c r="X201" s="201"/>
      <c r="Y201" s="201"/>
      <c r="Z201" s="201"/>
      <c r="AA201" s="201"/>
      <c r="AB201" s="201"/>
      <c r="AC201" s="201"/>
      <c r="AD201" s="201"/>
      <c r="AE201" s="201"/>
      <c r="AF201" s="201"/>
      <c r="AG201" s="201"/>
    </row>
    <row r="202" spans="1:33" ht="33" hidden="1">
      <c r="A202" s="230">
        <v>321</v>
      </c>
      <c r="B202" s="240">
        <v>60</v>
      </c>
      <c r="C202" s="240">
        <v>931</v>
      </c>
      <c r="D202" s="241">
        <v>70499</v>
      </c>
      <c r="E202" s="244" t="s">
        <v>218</v>
      </c>
      <c r="F202" s="252">
        <v>0</v>
      </c>
      <c r="G202" s="252">
        <v>57019.62</v>
      </c>
      <c r="H202" s="252">
        <v>0</v>
      </c>
      <c r="I202" s="252">
        <v>141000</v>
      </c>
      <c r="J202" s="252">
        <v>0</v>
      </c>
      <c r="K202" s="252">
        <v>52754.869999999995</v>
      </c>
      <c r="P202" s="201"/>
      <c r="Q202" s="201"/>
      <c r="R202" s="201"/>
      <c r="S202" s="201"/>
      <c r="T202" s="201"/>
      <c r="U202" s="201"/>
      <c r="V202" s="201"/>
      <c r="W202" s="201"/>
      <c r="X202" s="201"/>
      <c r="Y202" s="201"/>
      <c r="Z202" s="201"/>
      <c r="AA202" s="201"/>
      <c r="AB202" s="201"/>
      <c r="AC202" s="201"/>
      <c r="AD202" s="201"/>
      <c r="AE202" s="201"/>
      <c r="AF202" s="201"/>
      <c r="AG202" s="201"/>
    </row>
    <row r="203" spans="1:33" ht="18" customHeight="1" hidden="1">
      <c r="A203" s="230">
        <v>311</v>
      </c>
      <c r="B203" s="240">
        <v>60</v>
      </c>
      <c r="C203" s="240">
        <v>921</v>
      </c>
      <c r="D203" s="241">
        <v>70499</v>
      </c>
      <c r="E203" s="244" t="s">
        <v>405</v>
      </c>
      <c r="F203" s="252">
        <v>0</v>
      </c>
      <c r="G203" s="252">
        <v>0</v>
      </c>
      <c r="H203" s="252">
        <v>0</v>
      </c>
      <c r="I203" s="252">
        <v>70499.51448</v>
      </c>
      <c r="J203" s="252">
        <v>0</v>
      </c>
      <c r="K203" s="252">
        <v>86962.225728</v>
      </c>
      <c r="P203" s="201"/>
      <c r="Q203" s="201"/>
      <c r="R203" s="201"/>
      <c r="S203" s="201"/>
      <c r="T203" s="201"/>
      <c r="U203" s="201"/>
      <c r="V203" s="201"/>
      <c r="W203" s="201"/>
      <c r="X203" s="201"/>
      <c r="Y203" s="201"/>
      <c r="Z203" s="201"/>
      <c r="AA203" s="201"/>
      <c r="AB203" s="201"/>
      <c r="AC203" s="201"/>
      <c r="AD203" s="201"/>
      <c r="AE203" s="201"/>
      <c r="AF203" s="201"/>
      <c r="AG203" s="201"/>
    </row>
    <row r="204" spans="1:33" ht="33" hidden="1">
      <c r="A204" s="243">
        <v>321</v>
      </c>
      <c r="B204" s="240">
        <v>60</v>
      </c>
      <c r="C204" s="240">
        <v>931</v>
      </c>
      <c r="D204" s="242">
        <v>70499</v>
      </c>
      <c r="E204" s="244" t="s">
        <v>217</v>
      </c>
      <c r="F204" s="252">
        <v>0</v>
      </c>
      <c r="G204" s="252">
        <v>9353.2</v>
      </c>
      <c r="H204" s="252">
        <v>0</v>
      </c>
      <c r="I204" s="252">
        <v>70500.34191999999</v>
      </c>
      <c r="J204" s="252">
        <v>0</v>
      </c>
      <c r="K204" s="252">
        <v>118915.47771199999</v>
      </c>
      <c r="P204" s="201"/>
      <c r="Q204" s="201"/>
      <c r="R204" s="201"/>
      <c r="S204" s="201"/>
      <c r="T204" s="201"/>
      <c r="U204" s="201"/>
      <c r="V204" s="201"/>
      <c r="W204" s="201"/>
      <c r="X204" s="201"/>
      <c r="Y204" s="201"/>
      <c r="Z204" s="201"/>
      <c r="AA204" s="201"/>
      <c r="AB204" s="201"/>
      <c r="AC204" s="201"/>
      <c r="AD204" s="201"/>
      <c r="AE204" s="201"/>
      <c r="AF204" s="201"/>
      <c r="AG204" s="201"/>
    </row>
    <row r="205" spans="1:11" ht="18" customHeight="1" hidden="1">
      <c r="A205" s="230">
        <v>311</v>
      </c>
      <c r="B205" s="240">
        <v>60</v>
      </c>
      <c r="C205" s="240">
        <v>921</v>
      </c>
      <c r="D205" s="241">
        <v>70499</v>
      </c>
      <c r="E205" s="244" t="s">
        <v>431</v>
      </c>
      <c r="F205" s="252">
        <v>0</v>
      </c>
      <c r="G205" s="252">
        <v>1225.688</v>
      </c>
      <c r="H205" s="252"/>
      <c r="I205" s="252"/>
      <c r="J205" s="252"/>
      <c r="K205" s="252"/>
    </row>
    <row r="206" spans="1:11" ht="18" customHeight="1" hidden="1">
      <c r="A206" s="243">
        <v>321</v>
      </c>
      <c r="B206" s="240">
        <v>60</v>
      </c>
      <c r="C206" s="240">
        <v>931</v>
      </c>
      <c r="D206" s="242">
        <v>70499</v>
      </c>
      <c r="E206" s="244" t="s">
        <v>454</v>
      </c>
      <c r="F206" s="252">
        <v>0</v>
      </c>
      <c r="G206" s="252">
        <v>8700.57</v>
      </c>
      <c r="H206" s="252"/>
      <c r="I206" s="252"/>
      <c r="J206" s="252"/>
      <c r="K206" s="252"/>
    </row>
    <row r="207" spans="1:11" ht="18" customHeight="1" hidden="1">
      <c r="A207" s="230">
        <v>311</v>
      </c>
      <c r="B207" s="240">
        <v>60</v>
      </c>
      <c r="C207" s="240">
        <v>911</v>
      </c>
      <c r="D207" s="241">
        <v>70989</v>
      </c>
      <c r="E207" s="244" t="s">
        <v>465</v>
      </c>
      <c r="F207" s="252">
        <v>5396</v>
      </c>
      <c r="G207" s="252">
        <v>0</v>
      </c>
      <c r="H207" s="252">
        <v>3900</v>
      </c>
      <c r="I207" s="252"/>
      <c r="J207" s="252"/>
      <c r="K207" s="252"/>
    </row>
    <row r="208" spans="1:11" ht="18" customHeight="1" hidden="1">
      <c r="A208" s="230">
        <v>311</v>
      </c>
      <c r="B208" s="240">
        <v>60</v>
      </c>
      <c r="C208" s="240">
        <v>931</v>
      </c>
      <c r="D208" s="241">
        <v>70989</v>
      </c>
      <c r="E208" s="244" t="s">
        <v>335</v>
      </c>
      <c r="F208" s="252">
        <v>0</v>
      </c>
      <c r="G208" s="252">
        <v>118660</v>
      </c>
      <c r="H208" s="252"/>
      <c r="I208" s="252">
        <v>493500</v>
      </c>
      <c r="J208" s="252">
        <v>0</v>
      </c>
      <c r="K208" s="252">
        <v>1063738.96</v>
      </c>
    </row>
    <row r="209" spans="1:11" ht="18" customHeight="1" hidden="1">
      <c r="A209" s="230"/>
      <c r="B209" s="240"/>
      <c r="C209" s="240"/>
      <c r="D209" s="241"/>
      <c r="E209" s="244"/>
      <c r="F209" s="252">
        <v>0</v>
      </c>
      <c r="G209" s="252">
        <v>0</v>
      </c>
      <c r="H209" s="252"/>
      <c r="I209" s="252"/>
      <c r="J209" s="252"/>
      <c r="K209" s="252"/>
    </row>
    <row r="210" spans="1:11" ht="18" customHeight="1" hidden="1">
      <c r="A210" s="243"/>
      <c r="B210" s="240"/>
      <c r="C210" s="240"/>
      <c r="D210" s="242"/>
      <c r="E210" s="245" t="s">
        <v>493</v>
      </c>
      <c r="F210" s="248">
        <f aca="true" t="shared" si="22" ref="F210:K210">F211</f>
        <v>33875</v>
      </c>
      <c r="G210" s="248">
        <f t="shared" si="22"/>
        <v>2642989.9720508</v>
      </c>
      <c r="H210" s="248">
        <f t="shared" si="22"/>
        <v>348300</v>
      </c>
      <c r="I210" s="248">
        <f t="shared" si="22"/>
        <v>4550782.108515</v>
      </c>
      <c r="J210" s="248">
        <f t="shared" si="22"/>
        <v>421810.8</v>
      </c>
      <c r="K210" s="248">
        <f t="shared" si="22"/>
        <v>4470096.46</v>
      </c>
    </row>
    <row r="211" spans="1:11" ht="18" customHeight="1" hidden="1">
      <c r="A211" s="243"/>
      <c r="B211" s="240"/>
      <c r="C211" s="240"/>
      <c r="D211" s="242"/>
      <c r="E211" s="246" t="s">
        <v>313</v>
      </c>
      <c r="F211" s="251">
        <f aca="true" t="shared" si="23" ref="F211:K211">SUM(F212:F272)</f>
        <v>33875</v>
      </c>
      <c r="G211" s="251">
        <f t="shared" si="23"/>
        <v>2642989.9720508</v>
      </c>
      <c r="H211" s="251">
        <f t="shared" si="23"/>
        <v>348300</v>
      </c>
      <c r="I211" s="251">
        <f t="shared" si="23"/>
        <v>4550782.108515</v>
      </c>
      <c r="J211" s="251">
        <f t="shared" si="23"/>
        <v>421810.8</v>
      </c>
      <c r="K211" s="251">
        <f t="shared" si="23"/>
        <v>4470096.46</v>
      </c>
    </row>
    <row r="212" spans="1:11" ht="50.25" hidden="1">
      <c r="A212" s="243">
        <v>311</v>
      </c>
      <c r="B212" s="240">
        <v>42</v>
      </c>
      <c r="C212" s="240">
        <v>921</v>
      </c>
      <c r="D212" s="242">
        <v>70499</v>
      </c>
      <c r="E212" s="244" t="s">
        <v>392</v>
      </c>
      <c r="F212" s="252">
        <v>0</v>
      </c>
      <c r="G212" s="252">
        <v>488600</v>
      </c>
      <c r="H212" s="252">
        <v>0</v>
      </c>
      <c r="I212" s="252">
        <v>493500</v>
      </c>
      <c r="J212" s="252">
        <v>0</v>
      </c>
      <c r="K212" s="252">
        <v>748650</v>
      </c>
    </row>
    <row r="213" spans="1:11" ht="33" hidden="1">
      <c r="A213" s="243">
        <v>311</v>
      </c>
      <c r="B213" s="240">
        <v>42</v>
      </c>
      <c r="C213" s="240">
        <v>921</v>
      </c>
      <c r="D213" s="242">
        <v>70499</v>
      </c>
      <c r="E213" s="244" t="s">
        <v>522</v>
      </c>
      <c r="F213" s="252"/>
      <c r="G213" s="252"/>
      <c r="H213" s="252"/>
      <c r="I213" s="252"/>
      <c r="J213" s="252"/>
      <c r="K213" s="252"/>
    </row>
    <row r="214" spans="1:11" ht="18" customHeight="1" hidden="1">
      <c r="A214" s="243">
        <v>311</v>
      </c>
      <c r="B214" s="240">
        <v>42</v>
      </c>
      <c r="C214" s="240">
        <v>931</v>
      </c>
      <c r="D214" s="242">
        <v>70499</v>
      </c>
      <c r="E214" s="244" t="s">
        <v>527</v>
      </c>
      <c r="F214" s="252">
        <v>0</v>
      </c>
      <c r="G214" s="252">
        <v>16116.82</v>
      </c>
      <c r="H214" s="252"/>
      <c r="I214" s="252"/>
      <c r="J214" s="252"/>
      <c r="K214" s="252"/>
    </row>
    <row r="215" spans="1:11" ht="21.75" customHeight="1" hidden="1">
      <c r="A215" s="243">
        <v>311</v>
      </c>
      <c r="B215" s="240">
        <v>42</v>
      </c>
      <c r="C215" s="240">
        <v>911</v>
      </c>
      <c r="D215" s="242">
        <v>70499</v>
      </c>
      <c r="E215" s="244" t="s">
        <v>442</v>
      </c>
      <c r="F215" s="252">
        <v>5644</v>
      </c>
      <c r="G215" s="252">
        <v>0</v>
      </c>
      <c r="H215" s="252">
        <v>75000</v>
      </c>
      <c r="I215" s="252">
        <v>0</v>
      </c>
      <c r="J215" s="252">
        <v>76005.8</v>
      </c>
      <c r="K215" s="252">
        <v>0</v>
      </c>
    </row>
    <row r="216" spans="1:11" ht="16.5" hidden="1">
      <c r="A216" s="243">
        <v>311</v>
      </c>
      <c r="B216" s="240">
        <v>42</v>
      </c>
      <c r="C216" s="240">
        <v>931</v>
      </c>
      <c r="D216" s="242">
        <v>70499</v>
      </c>
      <c r="E216" s="244" t="s">
        <v>323</v>
      </c>
      <c r="F216" s="252">
        <v>0</v>
      </c>
      <c r="G216" s="252">
        <v>151801.04</v>
      </c>
      <c r="H216" s="252">
        <v>0</v>
      </c>
      <c r="I216" s="252">
        <v>282000</v>
      </c>
      <c r="J216" s="252">
        <v>0</v>
      </c>
      <c r="K216" s="252">
        <v>292330</v>
      </c>
    </row>
    <row r="217" spans="1:11" ht="33" hidden="1">
      <c r="A217" s="243">
        <v>311</v>
      </c>
      <c r="B217" s="240">
        <v>42</v>
      </c>
      <c r="C217" s="240">
        <v>921</v>
      </c>
      <c r="D217" s="242">
        <v>70499</v>
      </c>
      <c r="E217" s="244" t="s">
        <v>494</v>
      </c>
      <c r="F217" s="252">
        <v>0</v>
      </c>
      <c r="G217" s="252">
        <v>0</v>
      </c>
      <c r="H217" s="252">
        <v>0</v>
      </c>
      <c r="I217" s="252">
        <v>0</v>
      </c>
      <c r="J217" s="252">
        <v>0</v>
      </c>
      <c r="K217" s="252">
        <v>0</v>
      </c>
    </row>
    <row r="218" spans="1:11" ht="33" hidden="1">
      <c r="A218" s="243">
        <v>311</v>
      </c>
      <c r="B218" s="240">
        <v>42</v>
      </c>
      <c r="C218" s="240">
        <v>921</v>
      </c>
      <c r="D218" s="242">
        <v>70499</v>
      </c>
      <c r="E218" s="244" t="s">
        <v>495</v>
      </c>
      <c r="F218" s="252">
        <v>0</v>
      </c>
      <c r="G218" s="252">
        <v>48860</v>
      </c>
      <c r="H218" s="252">
        <v>0</v>
      </c>
      <c r="I218" s="252">
        <v>49350</v>
      </c>
      <c r="J218" s="252">
        <v>0</v>
      </c>
      <c r="K218" s="252">
        <v>0</v>
      </c>
    </row>
    <row r="219" spans="1:11" ht="33" hidden="1">
      <c r="A219" s="243">
        <v>311</v>
      </c>
      <c r="B219" s="240">
        <v>42</v>
      </c>
      <c r="C219" s="240">
        <v>931</v>
      </c>
      <c r="D219" s="242">
        <v>70499</v>
      </c>
      <c r="E219" s="244" t="s">
        <v>496</v>
      </c>
      <c r="F219" s="252">
        <v>0</v>
      </c>
      <c r="G219" s="252">
        <v>0</v>
      </c>
      <c r="H219" s="252">
        <v>0</v>
      </c>
      <c r="I219" s="252">
        <v>0</v>
      </c>
      <c r="J219" s="252">
        <v>0</v>
      </c>
      <c r="K219" s="252">
        <v>0</v>
      </c>
    </row>
    <row r="220" spans="1:11" ht="33" hidden="1">
      <c r="A220" s="230">
        <v>311</v>
      </c>
      <c r="B220" s="240">
        <v>42</v>
      </c>
      <c r="C220" s="240">
        <v>921</v>
      </c>
      <c r="D220" s="241">
        <v>70499</v>
      </c>
      <c r="E220" s="244" t="s">
        <v>231</v>
      </c>
      <c r="F220" s="252">
        <v>0</v>
      </c>
      <c r="G220" s="252">
        <v>178615.408</v>
      </c>
      <c r="H220" s="252">
        <v>0</v>
      </c>
      <c r="I220" s="252">
        <v>141000</v>
      </c>
      <c r="J220" s="252">
        <v>0</v>
      </c>
      <c r="K220" s="252">
        <v>293435.14999999997</v>
      </c>
    </row>
    <row r="221" spans="1:11" ht="16.5" hidden="1">
      <c r="A221" s="230">
        <v>321</v>
      </c>
      <c r="B221" s="240">
        <v>42</v>
      </c>
      <c r="C221" s="240">
        <v>931</v>
      </c>
      <c r="D221" s="241">
        <v>70499</v>
      </c>
      <c r="E221" s="244" t="s">
        <v>232</v>
      </c>
      <c r="F221" s="252">
        <v>0</v>
      </c>
      <c r="G221" s="252">
        <v>116446.01379999999</v>
      </c>
      <c r="H221" s="252">
        <v>0</v>
      </c>
      <c r="I221" s="252">
        <v>141000</v>
      </c>
      <c r="J221" s="252">
        <v>0</v>
      </c>
      <c r="K221" s="252">
        <v>0</v>
      </c>
    </row>
    <row r="222" spans="1:11" ht="33" hidden="1">
      <c r="A222" s="230">
        <v>311</v>
      </c>
      <c r="B222" s="240">
        <v>42</v>
      </c>
      <c r="C222" s="240">
        <v>921</v>
      </c>
      <c r="D222" s="241">
        <v>70499</v>
      </c>
      <c r="E222" s="244" t="s">
        <v>203</v>
      </c>
      <c r="F222" s="252">
        <v>0</v>
      </c>
      <c r="G222" s="252">
        <v>67830.8722</v>
      </c>
      <c r="H222" s="252">
        <v>0</v>
      </c>
      <c r="I222" s="252">
        <v>0</v>
      </c>
      <c r="J222" s="252">
        <v>0</v>
      </c>
      <c r="K222" s="252">
        <v>0</v>
      </c>
    </row>
    <row r="223" spans="1:11" ht="33" hidden="1">
      <c r="A223" s="230">
        <v>311</v>
      </c>
      <c r="B223" s="240">
        <v>42</v>
      </c>
      <c r="C223" s="240">
        <v>921</v>
      </c>
      <c r="D223" s="241">
        <v>70499</v>
      </c>
      <c r="E223" s="244" t="s">
        <v>369</v>
      </c>
      <c r="F223" s="252">
        <v>0</v>
      </c>
      <c r="G223" s="252">
        <v>0</v>
      </c>
      <c r="H223" s="252">
        <v>0</v>
      </c>
      <c r="I223" s="252">
        <v>0</v>
      </c>
      <c r="J223" s="252">
        <v>0</v>
      </c>
      <c r="K223" s="252">
        <v>0</v>
      </c>
    </row>
    <row r="224" spans="1:11" ht="33" hidden="1">
      <c r="A224" s="230">
        <v>321</v>
      </c>
      <c r="B224" s="240">
        <v>42</v>
      </c>
      <c r="C224" s="240">
        <v>931</v>
      </c>
      <c r="D224" s="241">
        <v>70499</v>
      </c>
      <c r="E224" s="244" t="s">
        <v>370</v>
      </c>
      <c r="F224" s="252">
        <v>0</v>
      </c>
      <c r="G224" s="252">
        <v>0</v>
      </c>
      <c r="H224" s="252">
        <v>0</v>
      </c>
      <c r="I224" s="252">
        <v>0</v>
      </c>
      <c r="J224" s="252">
        <v>0</v>
      </c>
      <c r="K224" s="252">
        <v>0</v>
      </c>
    </row>
    <row r="225" spans="1:11" ht="50.25" hidden="1">
      <c r="A225" s="230">
        <v>311</v>
      </c>
      <c r="B225" s="240">
        <v>42</v>
      </c>
      <c r="C225" s="240">
        <v>921</v>
      </c>
      <c r="D225" s="241">
        <v>70499</v>
      </c>
      <c r="E225" s="244" t="s">
        <v>406</v>
      </c>
      <c r="F225" s="252">
        <v>0</v>
      </c>
      <c r="G225" s="252">
        <v>26105.200000000004</v>
      </c>
      <c r="H225" s="252">
        <v>0</v>
      </c>
      <c r="I225" s="252">
        <v>35250</v>
      </c>
      <c r="J225" s="252">
        <v>0</v>
      </c>
      <c r="K225" s="252">
        <v>0</v>
      </c>
    </row>
    <row r="226" spans="1:33" s="201" customFormat="1" ht="16.5" hidden="1">
      <c r="A226" s="230">
        <v>311</v>
      </c>
      <c r="B226" s="240">
        <v>42</v>
      </c>
      <c r="C226" s="240">
        <v>931</v>
      </c>
      <c r="D226" s="241">
        <v>70499</v>
      </c>
      <c r="E226" s="244" t="s">
        <v>284</v>
      </c>
      <c r="F226" s="252">
        <v>0</v>
      </c>
      <c r="G226" s="252">
        <v>15356.000000000002</v>
      </c>
      <c r="H226" s="252">
        <v>0</v>
      </c>
      <c r="I226" s="252">
        <v>17625</v>
      </c>
      <c r="J226" s="252">
        <v>0</v>
      </c>
      <c r="K226" s="252">
        <v>0</v>
      </c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</row>
    <row r="227" spans="1:33" s="201" customFormat="1" ht="16.5" hidden="1">
      <c r="A227" s="230">
        <v>311</v>
      </c>
      <c r="B227" s="240">
        <v>42</v>
      </c>
      <c r="C227" s="240">
        <v>921</v>
      </c>
      <c r="D227" s="241">
        <v>70499</v>
      </c>
      <c r="E227" s="244" t="s">
        <v>283</v>
      </c>
      <c r="F227" s="252">
        <v>0</v>
      </c>
      <c r="G227" s="252">
        <v>23780.859999999997</v>
      </c>
      <c r="H227" s="252">
        <v>0</v>
      </c>
      <c r="I227" s="252">
        <v>23688.000000000004</v>
      </c>
      <c r="J227" s="252">
        <v>0</v>
      </c>
      <c r="K227" s="252">
        <v>0</v>
      </c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</row>
    <row r="228" spans="1:33" s="201" customFormat="1" ht="16.5" hidden="1">
      <c r="A228" s="230">
        <v>321</v>
      </c>
      <c r="B228" s="240">
        <v>42</v>
      </c>
      <c r="C228" s="240">
        <v>931</v>
      </c>
      <c r="D228" s="241">
        <v>70499</v>
      </c>
      <c r="E228" s="244" t="s">
        <v>282</v>
      </c>
      <c r="F228" s="252">
        <v>0</v>
      </c>
      <c r="G228" s="252">
        <v>0</v>
      </c>
      <c r="H228" s="252">
        <v>0</v>
      </c>
      <c r="I228" s="252">
        <v>11068.5</v>
      </c>
      <c r="J228" s="252">
        <v>0</v>
      </c>
      <c r="K228" s="252">
        <v>0</v>
      </c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</row>
    <row r="229" spans="1:33" s="201" customFormat="1" ht="33" hidden="1">
      <c r="A229" s="230">
        <v>311</v>
      </c>
      <c r="B229" s="240">
        <v>42</v>
      </c>
      <c r="C229" s="240">
        <v>921</v>
      </c>
      <c r="D229" s="241">
        <v>70499</v>
      </c>
      <c r="E229" s="244" t="s">
        <v>497</v>
      </c>
      <c r="F229" s="252">
        <v>0</v>
      </c>
      <c r="G229" s="252">
        <v>19132.18</v>
      </c>
      <c r="H229" s="252">
        <v>0</v>
      </c>
      <c r="I229" s="252">
        <v>55272.00000000001</v>
      </c>
      <c r="J229" s="252">
        <v>0</v>
      </c>
      <c r="K229" s="252">
        <v>71870.40000000001</v>
      </c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</row>
    <row r="230" spans="1:33" s="201" customFormat="1" ht="33" hidden="1">
      <c r="A230" s="230">
        <v>321</v>
      </c>
      <c r="B230" s="240">
        <v>42</v>
      </c>
      <c r="C230" s="240">
        <v>931</v>
      </c>
      <c r="D230" s="241">
        <v>70499</v>
      </c>
      <c r="E230" s="244" t="s">
        <v>498</v>
      </c>
      <c r="F230" s="252">
        <v>0</v>
      </c>
      <c r="G230" s="252">
        <v>40865.108</v>
      </c>
      <c r="H230" s="252">
        <v>0</v>
      </c>
      <c r="I230" s="252">
        <v>39480</v>
      </c>
      <c r="J230" s="252">
        <v>0</v>
      </c>
      <c r="K230" s="252">
        <v>47913.600000000006</v>
      </c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</row>
    <row r="231" spans="1:33" s="201" customFormat="1" ht="33" hidden="1">
      <c r="A231" s="230">
        <v>311</v>
      </c>
      <c r="B231" s="240">
        <v>42</v>
      </c>
      <c r="C231" s="240">
        <v>921</v>
      </c>
      <c r="D231" s="241">
        <v>70499</v>
      </c>
      <c r="E231" s="244" t="s">
        <v>393</v>
      </c>
      <c r="F231" s="252">
        <v>0</v>
      </c>
      <c r="G231" s="252">
        <v>91882.626</v>
      </c>
      <c r="H231" s="252">
        <v>0</v>
      </c>
      <c r="I231" s="252">
        <v>49350</v>
      </c>
      <c r="J231" s="252">
        <v>0</v>
      </c>
      <c r="K231" s="252">
        <v>0</v>
      </c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</row>
    <row r="232" spans="1:33" s="201" customFormat="1" ht="33" hidden="1">
      <c r="A232" s="230">
        <v>321</v>
      </c>
      <c r="B232" s="240">
        <v>42</v>
      </c>
      <c r="C232" s="240">
        <v>931</v>
      </c>
      <c r="D232" s="241">
        <v>70499</v>
      </c>
      <c r="E232" s="244" t="s">
        <v>455</v>
      </c>
      <c r="F232" s="252">
        <v>0</v>
      </c>
      <c r="G232" s="252">
        <v>24409.06</v>
      </c>
      <c r="H232" s="252">
        <v>0</v>
      </c>
      <c r="I232" s="252">
        <v>35249.99999999999</v>
      </c>
      <c r="J232" s="252">
        <v>0</v>
      </c>
      <c r="K232" s="252">
        <v>0</v>
      </c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</row>
    <row r="233" spans="1:33" s="201" customFormat="1" ht="33" hidden="1">
      <c r="A233" s="230">
        <v>311</v>
      </c>
      <c r="B233" s="240">
        <v>42</v>
      </c>
      <c r="C233" s="240">
        <v>921</v>
      </c>
      <c r="D233" s="241">
        <v>70499</v>
      </c>
      <c r="E233" s="244" t="s">
        <v>371</v>
      </c>
      <c r="F233" s="252">
        <v>0</v>
      </c>
      <c r="G233" s="252">
        <v>87756.1198</v>
      </c>
      <c r="H233" s="252">
        <v>0</v>
      </c>
      <c r="I233" s="252">
        <v>70500</v>
      </c>
      <c r="J233" s="252">
        <v>0</v>
      </c>
      <c r="K233" s="252">
        <v>0</v>
      </c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</row>
    <row r="234" spans="1:11" ht="33" hidden="1">
      <c r="A234" s="230">
        <v>321</v>
      </c>
      <c r="B234" s="240">
        <v>42</v>
      </c>
      <c r="C234" s="240">
        <v>931</v>
      </c>
      <c r="D234" s="241">
        <v>70499</v>
      </c>
      <c r="E234" s="244" t="s">
        <v>372</v>
      </c>
      <c r="F234" s="252">
        <v>0</v>
      </c>
      <c r="G234" s="252">
        <v>109969.9</v>
      </c>
      <c r="H234" s="252">
        <v>0</v>
      </c>
      <c r="I234" s="252">
        <v>42300.00000000001</v>
      </c>
      <c r="J234" s="252">
        <v>0</v>
      </c>
      <c r="K234" s="252">
        <v>0</v>
      </c>
    </row>
    <row r="235" spans="1:11" ht="33" hidden="1">
      <c r="A235" s="230">
        <v>311</v>
      </c>
      <c r="B235" s="240">
        <v>42</v>
      </c>
      <c r="C235" s="240">
        <v>921</v>
      </c>
      <c r="D235" s="241">
        <v>70499</v>
      </c>
      <c r="E235" s="244" t="s">
        <v>407</v>
      </c>
      <c r="F235" s="252">
        <v>0</v>
      </c>
      <c r="G235" s="252">
        <v>69403.536</v>
      </c>
      <c r="H235" s="252">
        <v>0</v>
      </c>
      <c r="I235" s="252">
        <v>141000</v>
      </c>
      <c r="J235" s="252">
        <v>0</v>
      </c>
      <c r="K235" s="252">
        <v>111798.40000000001</v>
      </c>
    </row>
    <row r="236" spans="1:11" ht="33" hidden="1">
      <c r="A236" s="230">
        <v>321</v>
      </c>
      <c r="B236" s="240">
        <v>42</v>
      </c>
      <c r="C236" s="240">
        <v>931</v>
      </c>
      <c r="D236" s="241">
        <v>70499</v>
      </c>
      <c r="E236" s="244" t="s">
        <v>398</v>
      </c>
      <c r="F236" s="252">
        <v>0</v>
      </c>
      <c r="G236" s="252">
        <v>95423.35985079998</v>
      </c>
      <c r="H236" s="252">
        <v>0</v>
      </c>
      <c r="I236" s="252">
        <v>141000</v>
      </c>
      <c r="J236" s="252">
        <v>0</v>
      </c>
      <c r="K236" s="252">
        <v>111798.40000000001</v>
      </c>
    </row>
    <row r="237" spans="1:11" ht="33" hidden="1">
      <c r="A237" s="230">
        <v>321</v>
      </c>
      <c r="B237" s="240">
        <v>42</v>
      </c>
      <c r="C237" s="240">
        <v>931</v>
      </c>
      <c r="D237" s="241">
        <v>70499</v>
      </c>
      <c r="E237" s="244" t="s">
        <v>394</v>
      </c>
      <c r="F237" s="252">
        <v>0</v>
      </c>
      <c r="G237" s="252">
        <v>0</v>
      </c>
      <c r="H237" s="252">
        <v>0</v>
      </c>
      <c r="I237" s="252">
        <v>0</v>
      </c>
      <c r="J237" s="252">
        <v>0</v>
      </c>
      <c r="K237" s="252">
        <v>0</v>
      </c>
    </row>
    <row r="238" spans="1:11" ht="33" hidden="1">
      <c r="A238" s="230">
        <v>311</v>
      </c>
      <c r="B238" s="240">
        <v>42</v>
      </c>
      <c r="C238" s="240">
        <v>921</v>
      </c>
      <c r="D238" s="241">
        <v>70499</v>
      </c>
      <c r="E238" s="244" t="s">
        <v>460</v>
      </c>
      <c r="F238" s="252">
        <v>0</v>
      </c>
      <c r="G238" s="252">
        <v>23034</v>
      </c>
      <c r="H238" s="252">
        <v>0</v>
      </c>
      <c r="I238" s="252">
        <v>49350</v>
      </c>
      <c r="J238" s="252">
        <v>0</v>
      </c>
      <c r="K238" s="252">
        <v>65674.43</v>
      </c>
    </row>
    <row r="239" spans="1:11" ht="33" hidden="1">
      <c r="A239" s="230">
        <v>321</v>
      </c>
      <c r="B239" s="240">
        <v>42</v>
      </c>
      <c r="C239" s="240">
        <v>931</v>
      </c>
      <c r="D239" s="241">
        <v>70499</v>
      </c>
      <c r="E239" s="244" t="s">
        <v>499</v>
      </c>
      <c r="F239" s="252">
        <v>0</v>
      </c>
      <c r="G239" s="252">
        <v>24669.414000000004</v>
      </c>
      <c r="H239" s="252">
        <v>0</v>
      </c>
      <c r="I239" s="252">
        <v>49350</v>
      </c>
      <c r="J239" s="252">
        <v>0</v>
      </c>
      <c r="K239" s="252">
        <v>49090.049999999996</v>
      </c>
    </row>
    <row r="240" spans="1:11" ht="33.75" customHeight="1" hidden="1">
      <c r="A240" s="230">
        <v>321</v>
      </c>
      <c r="B240" s="240">
        <v>42</v>
      </c>
      <c r="C240" s="240">
        <v>931</v>
      </c>
      <c r="D240" s="241">
        <v>70499</v>
      </c>
      <c r="E240" s="244" t="s">
        <v>395</v>
      </c>
      <c r="F240" s="252">
        <v>0</v>
      </c>
      <c r="G240" s="252">
        <v>0</v>
      </c>
      <c r="H240" s="252">
        <v>0</v>
      </c>
      <c r="I240" s="252">
        <v>0</v>
      </c>
      <c r="J240" s="252">
        <v>0</v>
      </c>
      <c r="K240" s="252">
        <v>0</v>
      </c>
    </row>
    <row r="241" spans="1:11" ht="34.5" customHeight="1" hidden="1">
      <c r="A241" s="230">
        <v>311</v>
      </c>
      <c r="B241" s="240">
        <v>42</v>
      </c>
      <c r="C241" s="240">
        <v>921</v>
      </c>
      <c r="D241" s="241">
        <v>70499</v>
      </c>
      <c r="E241" s="244" t="s">
        <v>500</v>
      </c>
      <c r="F241" s="252">
        <v>0</v>
      </c>
      <c r="G241" s="252">
        <v>42474.696</v>
      </c>
      <c r="H241" s="252">
        <v>0</v>
      </c>
      <c r="I241" s="252">
        <v>70500</v>
      </c>
      <c r="J241" s="252">
        <v>0</v>
      </c>
      <c r="K241" s="252">
        <v>0</v>
      </c>
    </row>
    <row r="242" spans="1:11" ht="45.75" customHeight="1" hidden="1">
      <c r="A242" s="230">
        <v>321</v>
      </c>
      <c r="B242" s="240">
        <v>42</v>
      </c>
      <c r="C242" s="240">
        <v>931</v>
      </c>
      <c r="D242" s="241">
        <v>70499</v>
      </c>
      <c r="E242" s="244" t="s">
        <v>461</v>
      </c>
      <c r="F242" s="252">
        <v>0</v>
      </c>
      <c r="G242" s="252">
        <v>11584.566400000002</v>
      </c>
      <c r="H242" s="252">
        <v>0</v>
      </c>
      <c r="I242" s="252">
        <v>33564.865995</v>
      </c>
      <c r="J242" s="252">
        <v>0</v>
      </c>
      <c r="K242" s="252">
        <v>0</v>
      </c>
    </row>
    <row r="243" spans="1:11" ht="33" hidden="1">
      <c r="A243" s="230">
        <v>321</v>
      </c>
      <c r="B243" s="240">
        <v>42</v>
      </c>
      <c r="C243" s="240">
        <v>931</v>
      </c>
      <c r="D243" s="241">
        <v>70499</v>
      </c>
      <c r="E243" s="244" t="s">
        <v>501</v>
      </c>
      <c r="F243" s="252">
        <v>0</v>
      </c>
      <c r="G243" s="252">
        <v>0</v>
      </c>
      <c r="H243" s="252">
        <v>0</v>
      </c>
      <c r="I243" s="252">
        <v>0</v>
      </c>
      <c r="J243" s="252">
        <v>0</v>
      </c>
      <c r="K243" s="252">
        <v>0</v>
      </c>
    </row>
    <row r="244" spans="1:11" ht="33" hidden="1">
      <c r="A244" s="230">
        <v>311</v>
      </c>
      <c r="B244" s="240">
        <v>42</v>
      </c>
      <c r="C244" s="240">
        <v>921</v>
      </c>
      <c r="D244" s="241">
        <v>70499</v>
      </c>
      <c r="E244" s="244" t="s">
        <v>502</v>
      </c>
      <c r="F244" s="252">
        <v>0</v>
      </c>
      <c r="G244" s="252">
        <v>41857.664000000004</v>
      </c>
      <c r="H244" s="252">
        <v>0</v>
      </c>
      <c r="I244" s="252">
        <v>105750</v>
      </c>
      <c r="J244" s="252">
        <v>0</v>
      </c>
      <c r="K244" s="252">
        <v>39928</v>
      </c>
    </row>
    <row r="245" spans="1:11" ht="33" hidden="1">
      <c r="A245" s="230">
        <v>321</v>
      </c>
      <c r="B245" s="240">
        <v>42</v>
      </c>
      <c r="C245" s="240">
        <v>931</v>
      </c>
      <c r="D245" s="241">
        <v>70499</v>
      </c>
      <c r="E245" s="244" t="s">
        <v>503</v>
      </c>
      <c r="F245" s="252">
        <v>0</v>
      </c>
      <c r="G245" s="252">
        <v>28894.407999999996</v>
      </c>
      <c r="H245" s="252">
        <v>0</v>
      </c>
      <c r="I245" s="252">
        <v>70500</v>
      </c>
      <c r="J245" s="252">
        <v>0</v>
      </c>
      <c r="K245" s="252">
        <v>23956.8</v>
      </c>
    </row>
    <row r="246" spans="1:11" ht="33" hidden="1">
      <c r="A246" s="230">
        <v>321</v>
      </c>
      <c r="B246" s="240">
        <v>42</v>
      </c>
      <c r="C246" s="240">
        <v>931</v>
      </c>
      <c r="D246" s="241">
        <v>70499</v>
      </c>
      <c r="E246" s="244" t="s">
        <v>504</v>
      </c>
      <c r="F246" s="252">
        <v>0</v>
      </c>
      <c r="G246" s="252">
        <v>0</v>
      </c>
      <c r="H246" s="252">
        <v>0</v>
      </c>
      <c r="I246" s="252">
        <v>0</v>
      </c>
      <c r="J246" s="252">
        <v>0</v>
      </c>
      <c r="K246" s="252">
        <v>0</v>
      </c>
    </row>
    <row r="247" spans="1:11" ht="33" hidden="1">
      <c r="A247" s="230">
        <v>311</v>
      </c>
      <c r="B247" s="240">
        <v>42</v>
      </c>
      <c r="C247" s="240">
        <v>921</v>
      </c>
      <c r="D247" s="241">
        <v>70499</v>
      </c>
      <c r="E247" s="244" t="s">
        <v>505</v>
      </c>
      <c r="F247" s="252">
        <v>0</v>
      </c>
      <c r="G247" s="252">
        <v>0</v>
      </c>
      <c r="H247" s="252">
        <v>0</v>
      </c>
      <c r="I247" s="252">
        <v>49350</v>
      </c>
      <c r="J247" s="252">
        <v>0</v>
      </c>
      <c r="K247" s="252">
        <v>79856</v>
      </c>
    </row>
    <row r="248" spans="1:11" ht="33" hidden="1">
      <c r="A248" s="230">
        <v>321</v>
      </c>
      <c r="B248" s="240">
        <v>42</v>
      </c>
      <c r="C248" s="240">
        <v>931</v>
      </c>
      <c r="D248" s="241">
        <v>70499</v>
      </c>
      <c r="E248" s="244" t="s">
        <v>506</v>
      </c>
      <c r="F248" s="252">
        <v>0</v>
      </c>
      <c r="G248" s="252">
        <v>0</v>
      </c>
      <c r="H248" s="252">
        <v>0</v>
      </c>
      <c r="I248" s="252">
        <v>49350</v>
      </c>
      <c r="J248" s="252">
        <v>0</v>
      </c>
      <c r="K248" s="252">
        <v>35650</v>
      </c>
    </row>
    <row r="249" spans="1:11" ht="33" hidden="1">
      <c r="A249" s="230">
        <v>321</v>
      </c>
      <c r="B249" s="240">
        <v>42</v>
      </c>
      <c r="C249" s="240">
        <v>931</v>
      </c>
      <c r="D249" s="241">
        <v>70499</v>
      </c>
      <c r="E249" s="244" t="s">
        <v>523</v>
      </c>
      <c r="F249" s="252"/>
      <c r="G249" s="252"/>
      <c r="H249" s="252"/>
      <c r="I249" s="252"/>
      <c r="J249" s="252"/>
      <c r="K249" s="252"/>
    </row>
    <row r="250" spans="1:11" ht="33" hidden="1">
      <c r="A250" s="230">
        <v>311</v>
      </c>
      <c r="B250" s="240">
        <v>42</v>
      </c>
      <c r="C250" s="240">
        <v>921</v>
      </c>
      <c r="D250" s="241">
        <v>70499</v>
      </c>
      <c r="E250" s="244" t="s">
        <v>507</v>
      </c>
      <c r="F250" s="252">
        <v>0</v>
      </c>
      <c r="G250" s="252">
        <v>53746.00000000001</v>
      </c>
      <c r="H250" s="252">
        <v>0</v>
      </c>
      <c r="I250" s="252">
        <v>84600</v>
      </c>
      <c r="J250" s="252">
        <v>0</v>
      </c>
      <c r="K250" s="252">
        <v>79856</v>
      </c>
    </row>
    <row r="251" spans="1:11" ht="33" hidden="1">
      <c r="A251" s="230">
        <v>321</v>
      </c>
      <c r="B251" s="240">
        <v>42</v>
      </c>
      <c r="C251" s="240">
        <v>931</v>
      </c>
      <c r="D251" s="241">
        <v>70499</v>
      </c>
      <c r="E251" s="244" t="s">
        <v>508</v>
      </c>
      <c r="F251" s="252">
        <v>0</v>
      </c>
      <c r="G251" s="252"/>
      <c r="H251" s="252">
        <v>0</v>
      </c>
      <c r="I251" s="252">
        <v>56400</v>
      </c>
      <c r="J251" s="252">
        <v>0</v>
      </c>
      <c r="K251" s="252">
        <v>0</v>
      </c>
    </row>
    <row r="252" spans="1:11" ht="33" hidden="1">
      <c r="A252" s="230">
        <v>321</v>
      </c>
      <c r="B252" s="240">
        <v>42</v>
      </c>
      <c r="C252" s="240">
        <v>931</v>
      </c>
      <c r="D252" s="241">
        <v>70499</v>
      </c>
      <c r="E252" s="244" t="s">
        <v>524</v>
      </c>
      <c r="F252" s="252"/>
      <c r="G252" s="252"/>
      <c r="H252" s="252"/>
      <c r="I252" s="252"/>
      <c r="J252" s="252"/>
      <c r="K252" s="252">
        <v>57895.600000000006</v>
      </c>
    </row>
    <row r="253" spans="1:11" ht="33" hidden="1">
      <c r="A253" s="230">
        <v>311</v>
      </c>
      <c r="B253" s="240">
        <v>42</v>
      </c>
      <c r="C253" s="240">
        <v>921</v>
      </c>
      <c r="D253" s="241">
        <v>70499</v>
      </c>
      <c r="E253" s="244" t="s">
        <v>509</v>
      </c>
      <c r="F253" s="252">
        <v>0</v>
      </c>
      <c r="G253" s="252">
        <v>0</v>
      </c>
      <c r="H253" s="252">
        <v>0</v>
      </c>
      <c r="I253" s="252">
        <v>105750</v>
      </c>
      <c r="J253" s="252">
        <v>0</v>
      </c>
      <c r="K253" s="252">
        <v>159712</v>
      </c>
    </row>
    <row r="254" spans="1:11" ht="33" hidden="1">
      <c r="A254" s="230">
        <v>321</v>
      </c>
      <c r="B254" s="240">
        <v>42</v>
      </c>
      <c r="C254" s="240">
        <v>931</v>
      </c>
      <c r="D254" s="241">
        <v>70499</v>
      </c>
      <c r="E254" s="244" t="s">
        <v>510</v>
      </c>
      <c r="F254" s="252">
        <v>0</v>
      </c>
      <c r="G254" s="252">
        <v>0</v>
      </c>
      <c r="H254" s="252">
        <v>0</v>
      </c>
      <c r="I254" s="252">
        <v>70500</v>
      </c>
      <c r="J254" s="252">
        <v>0</v>
      </c>
      <c r="K254" s="252">
        <v>35650</v>
      </c>
    </row>
    <row r="255" spans="1:11" ht="33" hidden="1">
      <c r="A255" s="230">
        <v>321</v>
      </c>
      <c r="B255" s="240">
        <v>42</v>
      </c>
      <c r="C255" s="240">
        <v>931</v>
      </c>
      <c r="D255" s="241">
        <v>70499</v>
      </c>
      <c r="E255" s="244" t="s">
        <v>526</v>
      </c>
      <c r="F255" s="252"/>
      <c r="G255" s="252"/>
      <c r="H255" s="252">
        <v>0</v>
      </c>
      <c r="I255" s="252">
        <v>0</v>
      </c>
      <c r="J255" s="252">
        <v>0</v>
      </c>
      <c r="K255" s="252">
        <v>0</v>
      </c>
    </row>
    <row r="256" spans="1:11" ht="33" hidden="1">
      <c r="A256" s="230">
        <v>311</v>
      </c>
      <c r="B256" s="240">
        <v>42</v>
      </c>
      <c r="C256" s="240">
        <v>921</v>
      </c>
      <c r="D256" s="241">
        <v>70499</v>
      </c>
      <c r="E256" s="244" t="s">
        <v>511</v>
      </c>
      <c r="F256" s="252">
        <v>0</v>
      </c>
      <c r="G256" s="252">
        <v>0</v>
      </c>
      <c r="H256" s="252">
        <v>0</v>
      </c>
      <c r="I256" s="252">
        <v>70500</v>
      </c>
      <c r="J256" s="252">
        <v>0</v>
      </c>
      <c r="K256" s="252">
        <v>79856</v>
      </c>
    </row>
    <row r="257" spans="1:11" ht="33" hidden="1">
      <c r="A257" s="230">
        <v>321</v>
      </c>
      <c r="B257" s="240">
        <v>42</v>
      </c>
      <c r="C257" s="240">
        <v>931</v>
      </c>
      <c r="D257" s="241">
        <v>70499</v>
      </c>
      <c r="E257" s="244" t="s">
        <v>512</v>
      </c>
      <c r="F257" s="252">
        <v>0</v>
      </c>
      <c r="G257" s="252">
        <v>0</v>
      </c>
      <c r="H257" s="252">
        <v>0</v>
      </c>
      <c r="I257" s="252">
        <v>49350</v>
      </c>
      <c r="J257" s="252">
        <v>0</v>
      </c>
      <c r="K257" s="252">
        <v>14260</v>
      </c>
    </row>
    <row r="258" spans="1:11" ht="33" hidden="1">
      <c r="A258" s="230">
        <v>321</v>
      </c>
      <c r="B258" s="240">
        <v>42</v>
      </c>
      <c r="C258" s="240">
        <v>931</v>
      </c>
      <c r="D258" s="241">
        <v>70499</v>
      </c>
      <c r="E258" s="244" t="s">
        <v>525</v>
      </c>
      <c r="F258" s="252"/>
      <c r="G258" s="252"/>
      <c r="H258" s="252">
        <v>0</v>
      </c>
      <c r="I258" s="252">
        <v>0</v>
      </c>
      <c r="J258" s="252">
        <v>0</v>
      </c>
      <c r="K258" s="252">
        <v>0</v>
      </c>
    </row>
    <row r="259" spans="1:11" ht="16.5" hidden="1">
      <c r="A259" s="230">
        <v>311</v>
      </c>
      <c r="B259" s="240">
        <v>42</v>
      </c>
      <c r="C259" s="240">
        <v>911</v>
      </c>
      <c r="D259" s="241">
        <v>70489</v>
      </c>
      <c r="E259" s="244" t="s">
        <v>513</v>
      </c>
      <c r="F259" s="252">
        <v>698</v>
      </c>
      <c r="G259" s="252">
        <v>0</v>
      </c>
      <c r="H259" s="252">
        <v>0</v>
      </c>
      <c r="I259" s="252">
        <v>0</v>
      </c>
      <c r="J259" s="252">
        <v>0</v>
      </c>
      <c r="K259" s="252">
        <v>0</v>
      </c>
    </row>
    <row r="260" spans="1:11" ht="16.5" hidden="1">
      <c r="A260" s="230">
        <v>311</v>
      </c>
      <c r="B260" s="240">
        <v>42</v>
      </c>
      <c r="C260" s="240">
        <v>931</v>
      </c>
      <c r="D260" s="241">
        <v>70489</v>
      </c>
      <c r="E260" s="244" t="s">
        <v>514</v>
      </c>
      <c r="F260" s="252">
        <v>0</v>
      </c>
      <c r="G260" s="252">
        <v>48860</v>
      </c>
      <c r="H260" s="252">
        <v>0</v>
      </c>
      <c r="I260" s="252">
        <v>23970.24252</v>
      </c>
      <c r="J260" s="252">
        <v>0</v>
      </c>
      <c r="K260" s="252">
        <v>0</v>
      </c>
    </row>
    <row r="261" spans="1:11" ht="16.5" hidden="1">
      <c r="A261" s="230">
        <v>311</v>
      </c>
      <c r="B261" s="240">
        <v>42</v>
      </c>
      <c r="C261" s="240">
        <v>931</v>
      </c>
      <c r="D261" s="241">
        <v>70489</v>
      </c>
      <c r="E261" s="244" t="s">
        <v>515</v>
      </c>
      <c r="F261" s="252">
        <v>0</v>
      </c>
      <c r="G261" s="252">
        <v>0</v>
      </c>
      <c r="H261" s="252">
        <v>0</v>
      </c>
      <c r="I261" s="252">
        <v>0</v>
      </c>
      <c r="J261" s="252">
        <v>0</v>
      </c>
      <c r="K261" s="252">
        <v>0</v>
      </c>
    </row>
    <row r="262" spans="1:11" ht="16.5" hidden="1">
      <c r="A262" s="230">
        <v>311</v>
      </c>
      <c r="B262" s="240">
        <v>42</v>
      </c>
      <c r="C262" s="240">
        <v>910</v>
      </c>
      <c r="D262" s="241">
        <v>70499</v>
      </c>
      <c r="E262" s="244" t="s">
        <v>446</v>
      </c>
      <c r="F262" s="252">
        <v>18160</v>
      </c>
      <c r="G262" s="252">
        <v>0</v>
      </c>
      <c r="H262" s="252">
        <v>60300</v>
      </c>
      <c r="I262" s="252">
        <v>0</v>
      </c>
      <c r="J262" s="252">
        <v>0</v>
      </c>
      <c r="K262" s="252">
        <v>0</v>
      </c>
    </row>
    <row r="263" spans="1:11" ht="16.5" hidden="1">
      <c r="A263" s="230">
        <v>311</v>
      </c>
      <c r="B263" s="240">
        <v>42</v>
      </c>
      <c r="C263" s="240">
        <v>920</v>
      </c>
      <c r="D263" s="241">
        <v>70499</v>
      </c>
      <c r="E263" s="244" t="s">
        <v>447</v>
      </c>
      <c r="F263" s="252">
        <v>0</v>
      </c>
      <c r="G263" s="252">
        <v>83760</v>
      </c>
      <c r="H263" s="252">
        <v>0</v>
      </c>
      <c r="I263" s="252">
        <v>98488.5</v>
      </c>
      <c r="J263" s="252">
        <v>0</v>
      </c>
      <c r="K263" s="252">
        <v>58694.16</v>
      </c>
    </row>
    <row r="264" spans="1:11" ht="16.5" hidden="1">
      <c r="A264" s="230">
        <v>311</v>
      </c>
      <c r="B264" s="240">
        <v>42</v>
      </c>
      <c r="C264" s="240">
        <v>930</v>
      </c>
      <c r="D264" s="241">
        <v>70499</v>
      </c>
      <c r="E264" s="244" t="s">
        <v>448</v>
      </c>
      <c r="F264" s="252">
        <v>0</v>
      </c>
      <c r="G264" s="252">
        <v>309772.4</v>
      </c>
      <c r="H264" s="252">
        <v>0</v>
      </c>
      <c r="I264" s="252">
        <v>211500</v>
      </c>
      <c r="J264" s="252">
        <v>0</v>
      </c>
      <c r="K264" s="252">
        <v>31364.869999999995</v>
      </c>
    </row>
    <row r="265" spans="1:11" ht="16.5" hidden="1">
      <c r="A265" s="230">
        <v>311</v>
      </c>
      <c r="B265" s="240">
        <v>42</v>
      </c>
      <c r="C265" s="240">
        <v>910</v>
      </c>
      <c r="D265" s="241">
        <v>70499</v>
      </c>
      <c r="E265" s="244" t="s">
        <v>449</v>
      </c>
      <c r="F265" s="252">
        <v>3418</v>
      </c>
      <c r="G265" s="252">
        <v>0</v>
      </c>
      <c r="H265" s="252">
        <v>105800</v>
      </c>
      <c r="I265" s="252">
        <v>0</v>
      </c>
      <c r="J265" s="252">
        <v>163990</v>
      </c>
      <c r="K265" s="252">
        <v>0</v>
      </c>
    </row>
    <row r="266" spans="1:11" ht="16.5" hidden="1">
      <c r="A266" s="230">
        <v>311</v>
      </c>
      <c r="B266" s="240">
        <v>42</v>
      </c>
      <c r="C266" s="240">
        <v>920</v>
      </c>
      <c r="D266" s="241">
        <v>70499</v>
      </c>
      <c r="E266" s="244" t="s">
        <v>450</v>
      </c>
      <c r="F266" s="252">
        <v>0</v>
      </c>
      <c r="G266" s="252">
        <v>139600</v>
      </c>
      <c r="H266" s="252">
        <v>0</v>
      </c>
      <c r="I266" s="252">
        <v>229125</v>
      </c>
      <c r="J266" s="252">
        <v>0</v>
      </c>
      <c r="K266" s="252">
        <v>269656.6</v>
      </c>
    </row>
    <row r="267" spans="1:11" ht="16.5" hidden="1">
      <c r="A267" s="230">
        <v>311</v>
      </c>
      <c r="B267" s="240">
        <v>42</v>
      </c>
      <c r="C267" s="240">
        <v>930</v>
      </c>
      <c r="D267" s="241">
        <v>70499</v>
      </c>
      <c r="E267" s="244" t="s">
        <v>451</v>
      </c>
      <c r="F267" s="252">
        <v>0</v>
      </c>
      <c r="G267" s="252">
        <v>69800</v>
      </c>
      <c r="H267" s="252">
        <v>0</v>
      </c>
      <c r="I267" s="252">
        <v>599250</v>
      </c>
      <c r="J267" s="252">
        <v>0</v>
      </c>
      <c r="K267" s="252">
        <v>534750</v>
      </c>
    </row>
    <row r="268" spans="1:11" ht="16.5" hidden="1">
      <c r="A268" s="230">
        <v>311</v>
      </c>
      <c r="B268" s="240">
        <v>42</v>
      </c>
      <c r="C268" s="240">
        <v>910</v>
      </c>
      <c r="D268" s="241">
        <v>70499</v>
      </c>
      <c r="E268" s="244" t="s">
        <v>452</v>
      </c>
      <c r="F268" s="252">
        <v>5540</v>
      </c>
      <c r="G268" s="252">
        <v>0</v>
      </c>
      <c r="H268" s="252">
        <v>64900</v>
      </c>
      <c r="I268" s="252">
        <v>0</v>
      </c>
      <c r="J268" s="252">
        <v>96255</v>
      </c>
      <c r="K268" s="252">
        <v>0</v>
      </c>
    </row>
    <row r="269" spans="1:11" ht="16.5" hidden="1">
      <c r="A269" s="230">
        <v>311</v>
      </c>
      <c r="B269" s="240">
        <v>42</v>
      </c>
      <c r="C269" s="240">
        <v>930</v>
      </c>
      <c r="D269" s="241">
        <v>70499</v>
      </c>
      <c r="E269" s="244" t="s">
        <v>453</v>
      </c>
      <c r="F269" s="252">
        <v>0</v>
      </c>
      <c r="G269" s="252">
        <v>92582.72</v>
      </c>
      <c r="H269" s="252">
        <v>0</v>
      </c>
      <c r="I269" s="252">
        <v>423000</v>
      </c>
      <c r="J269" s="252">
        <v>0</v>
      </c>
      <c r="K269" s="252">
        <v>392150</v>
      </c>
    </row>
    <row r="270" spans="1:11" ht="33" hidden="1">
      <c r="A270" s="230">
        <v>311</v>
      </c>
      <c r="B270" s="240">
        <v>42</v>
      </c>
      <c r="C270" s="240">
        <v>911</v>
      </c>
      <c r="D270" s="241">
        <v>70499</v>
      </c>
      <c r="E270" s="244" t="s">
        <v>516</v>
      </c>
      <c r="F270" s="252">
        <v>415</v>
      </c>
      <c r="G270" s="252"/>
      <c r="H270" s="252">
        <v>42300</v>
      </c>
      <c r="I270" s="252">
        <v>0</v>
      </c>
      <c r="J270" s="252">
        <v>85560</v>
      </c>
      <c r="K270" s="252">
        <v>0</v>
      </c>
    </row>
    <row r="271" spans="1:11" ht="33" hidden="1">
      <c r="A271" s="230">
        <v>311</v>
      </c>
      <c r="B271" s="240">
        <v>42</v>
      </c>
      <c r="C271" s="240">
        <v>931</v>
      </c>
      <c r="D271" s="241">
        <v>70499</v>
      </c>
      <c r="E271" s="244" t="s">
        <v>528</v>
      </c>
      <c r="F271" s="252"/>
      <c r="G271" s="252"/>
      <c r="H271" s="252">
        <v>0</v>
      </c>
      <c r="I271" s="252">
        <v>141000</v>
      </c>
      <c r="J271" s="252">
        <v>0</v>
      </c>
      <c r="K271" s="252">
        <v>392150</v>
      </c>
    </row>
    <row r="272" spans="1:11" ht="33" hidden="1">
      <c r="A272" s="230">
        <v>311</v>
      </c>
      <c r="B272" s="240">
        <v>42</v>
      </c>
      <c r="C272" s="240">
        <v>931</v>
      </c>
      <c r="D272" s="241">
        <v>70499</v>
      </c>
      <c r="E272" s="244" t="s">
        <v>529</v>
      </c>
      <c r="F272" s="252"/>
      <c r="G272" s="252"/>
      <c r="H272" s="252">
        <v>0</v>
      </c>
      <c r="I272" s="252">
        <v>141000</v>
      </c>
      <c r="J272" s="252">
        <v>0</v>
      </c>
      <c r="K272" s="252">
        <v>392150</v>
      </c>
    </row>
    <row r="273" spans="1:11" ht="16.5" hidden="1">
      <c r="A273" s="230"/>
      <c r="B273" s="240"/>
      <c r="C273" s="240"/>
      <c r="D273" s="241"/>
      <c r="E273" s="244"/>
      <c r="F273" s="252">
        <v>0</v>
      </c>
      <c r="G273" s="253">
        <v>0</v>
      </c>
      <c r="H273" s="252"/>
      <c r="I273" s="252"/>
      <c r="J273" s="252"/>
      <c r="K273" s="252"/>
    </row>
    <row r="274" spans="1:11" ht="33" hidden="1">
      <c r="A274" s="230"/>
      <c r="B274" s="240"/>
      <c r="C274" s="240"/>
      <c r="D274" s="241"/>
      <c r="E274" s="245" t="s">
        <v>349</v>
      </c>
      <c r="F274" s="249">
        <f aca="true" t="shared" si="24" ref="F274:K274">F275</f>
        <v>0</v>
      </c>
      <c r="G274" s="249">
        <f t="shared" si="24"/>
        <v>115170</v>
      </c>
      <c r="H274" s="249">
        <f t="shared" si="24"/>
        <v>0</v>
      </c>
      <c r="I274" s="249">
        <f t="shared" si="24"/>
        <v>229125</v>
      </c>
      <c r="J274" s="249">
        <f t="shared" si="24"/>
        <v>0</v>
      </c>
      <c r="K274" s="249">
        <f t="shared" si="24"/>
        <v>0</v>
      </c>
    </row>
    <row r="275" spans="1:11" ht="16.5" hidden="1">
      <c r="A275" s="230"/>
      <c r="B275" s="240"/>
      <c r="C275" s="240"/>
      <c r="D275" s="241"/>
      <c r="E275" s="246" t="s">
        <v>313</v>
      </c>
      <c r="F275" s="251">
        <f aca="true" t="shared" si="25" ref="F275:K275">SUM(F276:F277)</f>
        <v>0</v>
      </c>
      <c r="G275" s="251">
        <f t="shared" si="25"/>
        <v>115170</v>
      </c>
      <c r="H275" s="251">
        <f t="shared" si="25"/>
        <v>0</v>
      </c>
      <c r="I275" s="251">
        <f t="shared" si="25"/>
        <v>229125</v>
      </c>
      <c r="J275" s="251">
        <f t="shared" si="25"/>
        <v>0</v>
      </c>
      <c r="K275" s="251">
        <f t="shared" si="25"/>
        <v>0</v>
      </c>
    </row>
    <row r="276" spans="1:11" ht="16.5" hidden="1">
      <c r="A276" s="230">
        <v>311</v>
      </c>
      <c r="B276" s="242"/>
      <c r="C276" s="242">
        <v>920</v>
      </c>
      <c r="D276" s="242">
        <v>70499</v>
      </c>
      <c r="E276" s="247" t="s">
        <v>98</v>
      </c>
      <c r="F276" s="252">
        <v>0</v>
      </c>
      <c r="G276" s="252">
        <v>52350</v>
      </c>
      <c r="H276" s="252">
        <v>0</v>
      </c>
      <c r="I276" s="252">
        <v>52875</v>
      </c>
      <c r="J276" s="252"/>
      <c r="K276" s="252"/>
    </row>
    <row r="277" spans="1:11" ht="16.5" hidden="1">
      <c r="A277" s="230">
        <v>321</v>
      </c>
      <c r="B277" s="242"/>
      <c r="C277" s="242">
        <v>930</v>
      </c>
      <c r="D277" s="242">
        <v>70499</v>
      </c>
      <c r="E277" s="244" t="s">
        <v>99</v>
      </c>
      <c r="F277" s="252">
        <v>0</v>
      </c>
      <c r="G277" s="252">
        <v>62820</v>
      </c>
      <c r="H277" s="252">
        <v>0</v>
      </c>
      <c r="I277" s="252">
        <v>176250</v>
      </c>
      <c r="J277" s="252"/>
      <c r="K277" s="252"/>
    </row>
    <row r="278" spans="1:11" ht="16.5" hidden="1">
      <c r="A278" s="230"/>
      <c r="B278" s="240"/>
      <c r="C278" s="240"/>
      <c r="D278" s="241"/>
      <c r="E278" s="244"/>
      <c r="F278" s="252">
        <v>0</v>
      </c>
      <c r="G278" s="252">
        <v>0</v>
      </c>
      <c r="H278" s="252"/>
      <c r="I278" s="252"/>
      <c r="J278" s="252"/>
      <c r="K278" s="252"/>
    </row>
    <row r="279" spans="1:11" ht="33" hidden="1">
      <c r="A279" s="230"/>
      <c r="B279" s="240"/>
      <c r="C279" s="240"/>
      <c r="D279" s="241"/>
      <c r="E279" s="245" t="s">
        <v>308</v>
      </c>
      <c r="F279" s="248">
        <f aca="true" t="shared" si="26" ref="F279:K279">F280</f>
        <v>5584</v>
      </c>
      <c r="G279" s="248">
        <f t="shared" si="26"/>
        <v>55840</v>
      </c>
      <c r="H279" s="248">
        <f t="shared" si="26"/>
        <v>8460</v>
      </c>
      <c r="I279" s="248">
        <f t="shared" si="26"/>
        <v>14100</v>
      </c>
      <c r="J279" s="248">
        <f t="shared" si="26"/>
        <v>3565</v>
      </c>
      <c r="K279" s="248">
        <f t="shared" si="26"/>
        <v>0</v>
      </c>
    </row>
    <row r="280" spans="1:11" ht="16.5" hidden="1">
      <c r="A280" s="230"/>
      <c r="B280" s="240"/>
      <c r="C280" s="240"/>
      <c r="D280" s="241"/>
      <c r="E280" s="246" t="s">
        <v>313</v>
      </c>
      <c r="F280" s="250">
        <f aca="true" t="shared" si="27" ref="F280:K280">SUM(F281:F282)</f>
        <v>5584</v>
      </c>
      <c r="G280" s="250">
        <f t="shared" si="27"/>
        <v>55840</v>
      </c>
      <c r="H280" s="250">
        <f t="shared" si="27"/>
        <v>8460</v>
      </c>
      <c r="I280" s="250">
        <f t="shared" si="27"/>
        <v>14100</v>
      </c>
      <c r="J280" s="250">
        <f t="shared" si="27"/>
        <v>3565</v>
      </c>
      <c r="K280" s="250">
        <f t="shared" si="27"/>
        <v>0</v>
      </c>
    </row>
    <row r="281" spans="1:11" ht="16.5" hidden="1">
      <c r="A281" s="230">
        <v>311</v>
      </c>
      <c r="B281" s="240">
        <v>75</v>
      </c>
      <c r="C281" s="240">
        <v>910</v>
      </c>
      <c r="D281" s="241">
        <v>70499</v>
      </c>
      <c r="E281" s="244" t="s">
        <v>326</v>
      </c>
      <c r="F281" s="252">
        <v>5584</v>
      </c>
      <c r="G281" s="250">
        <v>0</v>
      </c>
      <c r="H281" s="252">
        <v>8460</v>
      </c>
      <c r="I281" s="250">
        <v>0</v>
      </c>
      <c r="J281" s="252">
        <v>3565</v>
      </c>
      <c r="K281" s="248"/>
    </row>
    <row r="282" spans="1:11" ht="16.5" hidden="1">
      <c r="A282" s="230">
        <v>311</v>
      </c>
      <c r="B282" s="240">
        <v>75</v>
      </c>
      <c r="C282" s="240">
        <v>920</v>
      </c>
      <c r="D282" s="241">
        <v>70499</v>
      </c>
      <c r="E282" s="244" t="s">
        <v>303</v>
      </c>
      <c r="F282" s="252">
        <v>0</v>
      </c>
      <c r="G282" s="252">
        <v>55840</v>
      </c>
      <c r="H282" s="252">
        <v>0</v>
      </c>
      <c r="I282" s="252">
        <v>14100</v>
      </c>
      <c r="J282" s="252">
        <v>0</v>
      </c>
      <c r="K282" s="250"/>
    </row>
    <row r="283" spans="1:14" ht="18" customHeight="1" hidden="1">
      <c r="A283" s="175"/>
      <c r="B283" s="72"/>
      <c r="C283" s="72"/>
      <c r="D283" s="72"/>
      <c r="E283" s="73" t="s">
        <v>13</v>
      </c>
      <c r="F283" s="248">
        <f aca="true" t="shared" si="28" ref="F283:K283">F14+F24+F31+F44+F60+F78+F115+F125+F161+F166+F194+F199+F210+F274+F279</f>
        <v>945452.52</v>
      </c>
      <c r="G283" s="248">
        <f t="shared" si="28"/>
        <v>20103963.230050802</v>
      </c>
      <c r="H283" s="248">
        <f t="shared" si="28"/>
        <v>1412997.94</v>
      </c>
      <c r="I283" s="248">
        <f t="shared" si="28"/>
        <v>23544850.090671733</v>
      </c>
      <c r="J283" s="248">
        <f t="shared" si="28"/>
        <v>1840359.95</v>
      </c>
      <c r="K283" s="248">
        <f t="shared" si="28"/>
        <v>29582917.10774</v>
      </c>
      <c r="L283" s="205"/>
      <c r="N283" s="205"/>
    </row>
    <row r="284" spans="2:15" ht="18" customHeight="1" hidden="1">
      <c r="B284" s="46"/>
      <c r="C284" s="46"/>
      <c r="D284" s="46"/>
      <c r="E284" s="25"/>
      <c r="F284" s="252">
        <v>0</v>
      </c>
      <c r="G284" s="250">
        <v>0</v>
      </c>
      <c r="H284" s="260">
        <v>0</v>
      </c>
      <c r="I284" s="261">
        <v>0</v>
      </c>
      <c r="J284" s="260">
        <v>0</v>
      </c>
      <c r="K284" s="260">
        <v>0</v>
      </c>
      <c r="L284" s="205"/>
      <c r="M284" s="22">
        <v>0</v>
      </c>
      <c r="O284" s="205"/>
    </row>
    <row r="285" spans="2:14" ht="18" customHeight="1" hidden="1">
      <c r="B285" s="46"/>
      <c r="C285" s="46"/>
      <c r="D285" s="46"/>
      <c r="E285" s="26" t="s">
        <v>14</v>
      </c>
      <c r="F285" s="248">
        <v>0</v>
      </c>
      <c r="G285" s="158">
        <v>14144292.650050795</v>
      </c>
      <c r="H285" s="257">
        <v>0</v>
      </c>
      <c r="I285" s="257">
        <v>16682027.8336717</v>
      </c>
      <c r="J285" s="257">
        <v>0</v>
      </c>
      <c r="K285" s="257">
        <v>22249027.160112</v>
      </c>
      <c r="L285" s="205"/>
      <c r="M285" s="205">
        <v>0</v>
      </c>
      <c r="N285" s="224"/>
    </row>
    <row r="286" spans="2:14" ht="18" customHeight="1" hidden="1">
      <c r="B286" s="46"/>
      <c r="C286" s="46"/>
      <c r="D286" s="46"/>
      <c r="E286" s="26" t="s">
        <v>15</v>
      </c>
      <c r="F286" s="254">
        <v>0</v>
      </c>
      <c r="G286" s="158">
        <v>5959670.579999999</v>
      </c>
      <c r="H286" s="257">
        <v>0</v>
      </c>
      <c r="I286" s="257">
        <v>6862822.257</v>
      </c>
      <c r="J286" s="257">
        <v>0</v>
      </c>
      <c r="K286" s="257">
        <v>7333889.947628001</v>
      </c>
      <c r="L286" s="205"/>
      <c r="M286" s="205">
        <v>0</v>
      </c>
      <c r="N286" s="224"/>
    </row>
    <row r="287" spans="2:14" ht="18" customHeight="1" hidden="1">
      <c r="B287" s="46"/>
      <c r="C287" s="46"/>
      <c r="D287" s="46"/>
      <c r="E287" s="27"/>
      <c r="F287" s="256">
        <v>0</v>
      </c>
      <c r="G287" s="208">
        <v>0</v>
      </c>
      <c r="H287" s="262">
        <v>0</v>
      </c>
      <c r="I287" s="262">
        <v>0</v>
      </c>
      <c r="J287" s="262">
        <v>0</v>
      </c>
      <c r="K287" s="262">
        <v>0</v>
      </c>
      <c r="L287" s="205"/>
      <c r="M287" s="22">
        <v>0</v>
      </c>
      <c r="N287" s="224"/>
    </row>
    <row r="288" spans="1:14" ht="18" customHeight="1" hidden="1">
      <c r="A288" s="270">
        <v>321</v>
      </c>
      <c r="B288" s="271"/>
      <c r="C288" s="271"/>
      <c r="D288" s="272"/>
      <c r="E288" s="26" t="s">
        <v>82</v>
      </c>
      <c r="F288" s="254">
        <v>0</v>
      </c>
      <c r="G288" s="158">
        <v>4788614.750050799</v>
      </c>
      <c r="H288" s="263">
        <v>0</v>
      </c>
      <c r="I288" s="257">
        <v>6029801.73367173</v>
      </c>
      <c r="J288" s="263">
        <v>0</v>
      </c>
      <c r="K288" s="257">
        <v>7678390.885112001</v>
      </c>
      <c r="L288" s="205"/>
      <c r="M288" s="22">
        <v>0</v>
      </c>
      <c r="N288" s="224"/>
    </row>
    <row r="289" spans="1:14" ht="18" customHeight="1" hidden="1">
      <c r="A289" s="273"/>
      <c r="B289" s="274"/>
      <c r="C289" s="274"/>
      <c r="D289" s="275"/>
      <c r="E289" s="26" t="s">
        <v>83</v>
      </c>
      <c r="F289" s="254">
        <v>0</v>
      </c>
      <c r="G289" s="158">
        <v>1160418.02</v>
      </c>
      <c r="H289" s="263">
        <v>0</v>
      </c>
      <c r="I289" s="257">
        <v>528750</v>
      </c>
      <c r="J289" s="263">
        <v>0</v>
      </c>
      <c r="K289" s="257">
        <v>226490.15399999998</v>
      </c>
      <c r="L289" s="205"/>
      <c r="M289" s="22">
        <v>0</v>
      </c>
      <c r="N289" s="224"/>
    </row>
    <row r="290" spans="1:14" ht="18" customHeight="1" hidden="1">
      <c r="A290" s="276"/>
      <c r="B290" s="277"/>
      <c r="C290" s="277"/>
      <c r="D290" s="278"/>
      <c r="E290" s="26" t="s">
        <v>84</v>
      </c>
      <c r="F290" s="254">
        <v>0</v>
      </c>
      <c r="G290" s="152">
        <v>5949032.770050799</v>
      </c>
      <c r="H290" s="263">
        <v>0</v>
      </c>
      <c r="I290" s="248">
        <v>6558551.73367173</v>
      </c>
      <c r="J290" s="263">
        <v>0</v>
      </c>
      <c r="K290" s="248">
        <v>7904881.039112001</v>
      </c>
      <c r="L290" s="205"/>
      <c r="M290" s="22">
        <v>0</v>
      </c>
      <c r="N290" s="224"/>
    </row>
    <row r="291" spans="1:14" ht="18" customHeight="1" hidden="1">
      <c r="A291" s="270">
        <v>311</v>
      </c>
      <c r="B291" s="271"/>
      <c r="C291" s="271"/>
      <c r="D291" s="272"/>
      <c r="E291" s="26" t="s">
        <v>85</v>
      </c>
      <c r="F291" s="254">
        <v>0</v>
      </c>
      <c r="G291" s="158">
        <v>9355677.899999999</v>
      </c>
      <c r="H291" s="248">
        <v>0</v>
      </c>
      <c r="I291" s="257">
        <v>10652226.1</v>
      </c>
      <c r="J291" s="248">
        <v>0</v>
      </c>
      <c r="K291" s="257">
        <v>14570636.275000002</v>
      </c>
      <c r="L291" s="205"/>
      <c r="M291" s="22">
        <v>0</v>
      </c>
      <c r="N291" s="224"/>
    </row>
    <row r="292" spans="1:14" ht="18" customHeight="1" hidden="1">
      <c r="A292" s="273"/>
      <c r="B292" s="274"/>
      <c r="C292" s="274"/>
      <c r="D292" s="275"/>
      <c r="E292" s="28" t="s">
        <v>86</v>
      </c>
      <c r="F292" s="255">
        <v>0</v>
      </c>
      <c r="G292" s="158">
        <v>4799252.56</v>
      </c>
      <c r="H292" s="248">
        <v>0</v>
      </c>
      <c r="I292" s="257">
        <v>6334072.257</v>
      </c>
      <c r="J292" s="248">
        <v>0</v>
      </c>
      <c r="K292" s="257">
        <v>7107399.793628001</v>
      </c>
      <c r="L292" s="205"/>
      <c r="M292" s="205">
        <v>0</v>
      </c>
      <c r="N292" s="224"/>
    </row>
    <row r="293" spans="1:14" ht="18" customHeight="1" hidden="1">
      <c r="A293" s="276"/>
      <c r="B293" s="277"/>
      <c r="C293" s="277"/>
      <c r="D293" s="278"/>
      <c r="E293" s="28" t="s">
        <v>87</v>
      </c>
      <c r="F293" s="255">
        <f>F283</f>
        <v>945452.52</v>
      </c>
      <c r="G293" s="152">
        <v>14154930.459999995</v>
      </c>
      <c r="H293" s="248">
        <v>1412997.94</v>
      </c>
      <c r="I293" s="248">
        <v>16986298.357</v>
      </c>
      <c r="J293" s="248">
        <v>1840359.95</v>
      </c>
      <c r="K293" s="248">
        <v>21678036.068628</v>
      </c>
      <c r="L293" s="205"/>
      <c r="N293" s="224"/>
    </row>
    <row r="294" spans="1:14" ht="18" customHeight="1" hidden="1">
      <c r="A294" s="221"/>
      <c r="B294" s="221"/>
      <c r="C294" s="221"/>
      <c r="D294" s="221"/>
      <c r="E294" s="222"/>
      <c r="F294" s="222"/>
      <c r="G294" s="222"/>
      <c r="H294" s="223"/>
      <c r="I294" s="223"/>
      <c r="J294" s="223"/>
      <c r="K294" s="223"/>
      <c r="L294" s="205"/>
      <c r="N294" s="224"/>
    </row>
    <row r="295" spans="1:14" ht="18" customHeight="1" hidden="1">
      <c r="A295" s="221"/>
      <c r="B295" s="221"/>
      <c r="C295" s="221"/>
      <c r="D295" s="221"/>
      <c r="E295" s="222"/>
      <c r="F295" s="222"/>
      <c r="G295" s="264"/>
      <c r="H295" s="286"/>
      <c r="I295" s="287"/>
      <c r="J295" s="223"/>
      <c r="K295" s="223"/>
      <c r="L295" s="205"/>
      <c r="N295" s="224"/>
    </row>
    <row r="296" spans="1:14" ht="18" customHeight="1" hidden="1">
      <c r="A296" s="221"/>
      <c r="B296" s="221"/>
      <c r="C296" s="221"/>
      <c r="D296" s="221"/>
      <c r="E296" s="231"/>
      <c r="F296" s="231"/>
      <c r="G296" s="231"/>
      <c r="H296" s="223"/>
      <c r="I296" s="232"/>
      <c r="J296" s="232"/>
      <c r="K296" s="232"/>
      <c r="L296" s="205"/>
      <c r="N296" s="224"/>
    </row>
    <row r="297" spans="1:14" ht="18" customHeight="1" hidden="1">
      <c r="A297" s="221"/>
      <c r="B297" s="221"/>
      <c r="C297" s="221"/>
      <c r="D297" s="221"/>
      <c r="E297" s="231"/>
      <c r="F297" s="231"/>
      <c r="G297" s="231"/>
      <c r="H297" s="223"/>
      <c r="I297" s="232"/>
      <c r="J297" s="232"/>
      <c r="K297" s="232"/>
      <c r="L297" s="205"/>
      <c r="N297" s="224"/>
    </row>
    <row r="298" spans="1:14" ht="18" customHeight="1" hidden="1">
      <c r="A298" s="221"/>
      <c r="B298" s="221"/>
      <c r="C298" s="221"/>
      <c r="D298" s="221"/>
      <c r="E298" s="231"/>
      <c r="F298" s="231"/>
      <c r="G298" s="231"/>
      <c r="H298" s="223"/>
      <c r="I298" s="232"/>
      <c r="J298" s="232"/>
      <c r="K298" s="232"/>
      <c r="L298" s="205"/>
      <c r="N298" s="224"/>
    </row>
    <row r="299" spans="1:14" ht="18" customHeight="1" hidden="1">
      <c r="A299" s="221"/>
      <c r="B299" s="221"/>
      <c r="C299" s="221"/>
      <c r="D299" s="221"/>
      <c r="E299" s="231"/>
      <c r="F299" s="231"/>
      <c r="G299" s="231"/>
      <c r="H299" s="223"/>
      <c r="I299" s="232"/>
      <c r="J299" s="232"/>
      <c r="K299" s="232"/>
      <c r="L299" s="205"/>
      <c r="N299" s="224"/>
    </row>
    <row r="300" spans="1:14" ht="18" customHeight="1" hidden="1">
      <c r="A300" s="221"/>
      <c r="B300" s="221"/>
      <c r="C300" s="221"/>
      <c r="D300" s="221"/>
      <c r="E300" s="231"/>
      <c r="F300" s="231"/>
      <c r="G300" s="231"/>
      <c r="H300" s="223"/>
      <c r="I300" s="232"/>
      <c r="J300" s="232"/>
      <c r="K300" s="232"/>
      <c r="L300" s="205"/>
      <c r="N300" s="224"/>
    </row>
    <row r="301" spans="1:14" ht="18" customHeight="1" hidden="1">
      <c r="A301" s="221"/>
      <c r="B301" s="221"/>
      <c r="C301" s="221"/>
      <c r="D301" s="221"/>
      <c r="E301" s="231"/>
      <c r="F301" s="231"/>
      <c r="G301" s="231"/>
      <c r="H301" s="223"/>
      <c r="I301" s="232"/>
      <c r="J301" s="232"/>
      <c r="K301" s="232"/>
      <c r="L301" s="205"/>
      <c r="N301" s="224"/>
    </row>
    <row r="302" spans="1:14" ht="18" customHeight="1" hidden="1">
      <c r="A302" s="221"/>
      <c r="B302" s="221"/>
      <c r="C302" s="221"/>
      <c r="D302" s="221"/>
      <c r="E302" s="231"/>
      <c r="F302" s="231"/>
      <c r="G302" s="231"/>
      <c r="H302" s="223"/>
      <c r="I302" s="232"/>
      <c r="J302" s="232"/>
      <c r="K302" s="232"/>
      <c r="L302" s="205"/>
      <c r="N302" s="224"/>
    </row>
    <row r="303" spans="1:14" ht="18" customHeight="1" hidden="1">
      <c r="A303" s="221"/>
      <c r="B303" s="221"/>
      <c r="C303" s="221"/>
      <c r="D303" s="221"/>
      <c r="E303" s="231"/>
      <c r="F303" s="231"/>
      <c r="G303" s="231"/>
      <c r="H303" s="223"/>
      <c r="I303" s="232"/>
      <c r="J303" s="232"/>
      <c r="K303" s="232"/>
      <c r="L303" s="205"/>
      <c r="N303" s="224"/>
    </row>
    <row r="304" spans="1:14" ht="18" customHeight="1" hidden="1">
      <c r="A304" s="221"/>
      <c r="B304" s="221"/>
      <c r="C304" s="221"/>
      <c r="D304" s="221"/>
      <c r="E304" s="233"/>
      <c r="F304" s="233"/>
      <c r="G304" s="233"/>
      <c r="H304" s="223"/>
      <c r="I304" s="232"/>
      <c r="J304" s="232"/>
      <c r="K304" s="232"/>
      <c r="L304" s="205"/>
      <c r="N304" s="224"/>
    </row>
    <row r="305" spans="1:14" ht="18" customHeight="1" hidden="1">
      <c r="A305" s="221"/>
      <c r="B305" s="221"/>
      <c r="C305" s="221"/>
      <c r="D305" s="221"/>
      <c r="E305" s="222"/>
      <c r="F305" s="222"/>
      <c r="G305" s="222"/>
      <c r="H305" s="223"/>
      <c r="I305" s="223"/>
      <c r="J305" s="223"/>
      <c r="K305" s="223"/>
      <c r="L305" s="205"/>
      <c r="N305" s="224"/>
    </row>
    <row r="306" spans="1:14" ht="18" customHeight="1" hidden="1">
      <c r="A306" s="221"/>
      <c r="B306" s="221"/>
      <c r="C306" s="221"/>
      <c r="D306" s="221"/>
      <c r="E306" s="222"/>
      <c r="F306" s="222"/>
      <c r="G306" s="222"/>
      <c r="H306" s="223"/>
      <c r="I306" s="223"/>
      <c r="J306" s="223"/>
      <c r="K306" s="223"/>
      <c r="L306" s="205"/>
      <c r="N306" s="224"/>
    </row>
    <row r="307" spans="1:14" ht="18" customHeight="1" hidden="1">
      <c r="A307" s="221"/>
      <c r="B307" s="221"/>
      <c r="C307" s="221"/>
      <c r="D307" s="221"/>
      <c r="E307" s="222"/>
      <c r="F307" s="222"/>
      <c r="G307" s="222"/>
      <c r="H307" s="223"/>
      <c r="I307" s="223"/>
      <c r="J307" s="223"/>
      <c r="K307" s="223"/>
      <c r="L307" s="205"/>
      <c r="N307" s="224"/>
    </row>
    <row r="308" spans="1:14" ht="18" customHeight="1" hidden="1">
      <c r="A308" s="221"/>
      <c r="B308" s="221"/>
      <c r="C308" s="221"/>
      <c r="D308" s="221"/>
      <c r="E308" s="234"/>
      <c r="F308" s="234"/>
      <c r="G308" s="234"/>
      <c r="H308" s="223"/>
      <c r="I308" s="223"/>
      <c r="J308" s="223"/>
      <c r="K308" s="223"/>
      <c r="L308" s="205"/>
      <c r="N308" s="224"/>
    </row>
    <row r="309" spans="1:16" ht="18" customHeight="1">
      <c r="A309" s="221"/>
      <c r="B309" s="221"/>
      <c r="C309" s="221"/>
      <c r="D309" s="221"/>
      <c r="E309" s="231"/>
      <c r="F309" s="231"/>
      <c r="G309" s="231"/>
      <c r="H309" s="223"/>
      <c r="I309" s="223"/>
      <c r="J309" s="223"/>
      <c r="K309" s="223"/>
      <c r="L309" s="225"/>
      <c r="M309" s="225"/>
      <c r="N309" s="48"/>
      <c r="O309" s="225"/>
      <c r="P309" s="225">
        <v>0</v>
      </c>
    </row>
    <row r="310" spans="1:16" ht="18" customHeight="1">
      <c r="A310" s="221"/>
      <c r="B310" s="221"/>
      <c r="C310" s="221"/>
      <c r="D310" s="221"/>
      <c r="E310" s="231"/>
      <c r="F310" s="231"/>
      <c r="G310" s="231"/>
      <c r="H310" s="223"/>
      <c r="I310" s="223"/>
      <c r="J310" s="223"/>
      <c r="K310" s="223"/>
      <c r="L310" s="225"/>
      <c r="M310" s="225"/>
      <c r="N310" s="48"/>
      <c r="O310" s="225"/>
      <c r="P310" s="225"/>
    </row>
    <row r="311" spans="1:16" ht="18" customHeight="1">
      <c r="A311" s="221"/>
      <c r="B311" s="221"/>
      <c r="C311" s="221"/>
      <c r="D311" s="221"/>
      <c r="E311" s="231"/>
      <c r="F311" s="231"/>
      <c r="G311" s="231"/>
      <c r="H311" s="223"/>
      <c r="I311" s="223"/>
      <c r="J311" s="223"/>
      <c r="K311" s="223"/>
      <c r="L311" s="225"/>
      <c r="M311" s="225"/>
      <c r="N311" s="48"/>
      <c r="O311" s="225"/>
      <c r="P311" s="225"/>
    </row>
    <row r="312" spans="1:16" ht="18" customHeight="1">
      <c r="A312" s="221"/>
      <c r="B312" s="221"/>
      <c r="C312" s="221"/>
      <c r="D312" s="221"/>
      <c r="E312" s="231"/>
      <c r="F312" s="231"/>
      <c r="G312" s="231"/>
      <c r="H312" s="223"/>
      <c r="I312" s="223"/>
      <c r="J312" s="223"/>
      <c r="K312" s="223"/>
      <c r="L312" s="225"/>
      <c r="M312" s="225"/>
      <c r="N312" s="48"/>
      <c r="O312" s="225"/>
      <c r="P312" s="225"/>
    </row>
    <row r="313" spans="1:16" ht="18" customHeight="1">
      <c r="A313" s="221"/>
      <c r="B313" s="221"/>
      <c r="C313" s="221"/>
      <c r="D313" s="221"/>
      <c r="E313" s="231"/>
      <c r="F313" s="231"/>
      <c r="G313" s="231"/>
      <c r="H313" s="223"/>
      <c r="I313" s="223"/>
      <c r="J313" s="223"/>
      <c r="K313" s="223"/>
      <c r="L313" s="225"/>
      <c r="M313" s="225"/>
      <c r="N313" s="48"/>
      <c r="O313" s="225"/>
      <c r="P313" s="225"/>
    </row>
    <row r="314" spans="1:16" ht="18" customHeight="1">
      <c r="A314" s="221"/>
      <c r="B314" s="221"/>
      <c r="C314" s="221"/>
      <c r="D314" s="221"/>
      <c r="E314" s="231"/>
      <c r="F314" s="231"/>
      <c r="G314" s="231"/>
      <c r="H314" s="223"/>
      <c r="I314" s="223"/>
      <c r="J314" s="223"/>
      <c r="K314" s="223"/>
      <c r="L314" s="225"/>
      <c r="M314" s="225"/>
      <c r="N314" s="48"/>
      <c r="O314" s="225"/>
      <c r="P314" s="225"/>
    </row>
    <row r="315" spans="1:16" ht="18" customHeight="1">
      <c r="A315" s="221"/>
      <c r="B315" s="221"/>
      <c r="C315" s="221"/>
      <c r="D315" s="221"/>
      <c r="E315" s="231"/>
      <c r="F315" s="231"/>
      <c r="G315" s="231"/>
      <c r="H315" s="223"/>
      <c r="I315" s="223"/>
      <c r="J315" s="223"/>
      <c r="K315" s="223"/>
      <c r="L315" s="225"/>
      <c r="M315" s="225"/>
      <c r="N315" s="48"/>
      <c r="O315" s="225"/>
      <c r="P315" s="225"/>
    </row>
    <row r="316" spans="1:16" ht="18" customHeight="1">
      <c r="A316" s="221"/>
      <c r="B316" s="221"/>
      <c r="C316" s="221"/>
      <c r="D316" s="221"/>
      <c r="E316" s="235"/>
      <c r="F316" s="235"/>
      <c r="G316" s="235"/>
      <c r="H316" s="223"/>
      <c r="I316" s="223"/>
      <c r="J316" s="223"/>
      <c r="K316" s="223"/>
      <c r="L316" s="225"/>
      <c r="M316" s="225"/>
      <c r="N316" s="48"/>
      <c r="O316" s="225"/>
      <c r="P316" s="225"/>
    </row>
    <row r="317" spans="1:14" ht="18" customHeight="1">
      <c r="A317" s="221"/>
      <c r="B317" s="221"/>
      <c r="C317" s="221"/>
      <c r="D317" s="221"/>
      <c r="E317" s="222"/>
      <c r="F317" s="222"/>
      <c r="G317" s="222"/>
      <c r="H317" s="223"/>
      <c r="I317" s="223"/>
      <c r="J317" s="223"/>
      <c r="K317" s="223"/>
      <c r="L317" s="205"/>
      <c r="N317" s="224"/>
    </row>
    <row r="318" spans="1:14" ht="18" customHeight="1">
      <c r="A318" s="221"/>
      <c r="B318" s="221"/>
      <c r="C318" s="221"/>
      <c r="D318" s="221"/>
      <c r="E318" s="222"/>
      <c r="F318" s="222"/>
      <c r="G318" s="222"/>
      <c r="H318" s="223"/>
      <c r="I318" s="223"/>
      <c r="J318" s="223"/>
      <c r="K318" s="223"/>
      <c r="L318" s="205"/>
      <c r="N318" s="224"/>
    </row>
    <row r="319" spans="1:14" ht="18" customHeight="1">
      <c r="A319" s="221"/>
      <c r="B319" s="221"/>
      <c r="C319" s="221"/>
      <c r="D319" s="221"/>
      <c r="E319" s="222"/>
      <c r="F319" s="222"/>
      <c r="G319" s="222"/>
      <c r="H319" s="223"/>
      <c r="I319" s="223"/>
      <c r="J319" s="223"/>
      <c r="K319" s="223"/>
      <c r="L319" s="205"/>
      <c r="N319" s="224"/>
    </row>
    <row r="320" spans="1:14" ht="18" customHeight="1">
      <c r="A320" s="221"/>
      <c r="B320" s="221"/>
      <c r="C320" s="221"/>
      <c r="D320" s="221"/>
      <c r="E320" s="222"/>
      <c r="F320" s="222"/>
      <c r="G320" s="222"/>
      <c r="H320" s="223"/>
      <c r="I320" s="223"/>
      <c r="J320" s="223"/>
      <c r="K320" s="223"/>
      <c r="L320" s="205"/>
      <c r="N320" s="224"/>
    </row>
    <row r="321" spans="5:11" ht="12.75">
      <c r="E321" s="236"/>
      <c r="F321" s="236"/>
      <c r="G321" s="236"/>
      <c r="H321" s="237"/>
      <c r="I321" s="237"/>
      <c r="J321" s="237"/>
      <c r="K321" s="237"/>
    </row>
    <row r="322" spans="5:11" ht="12.75">
      <c r="E322" s="238"/>
      <c r="F322" s="238"/>
      <c r="G322" s="238"/>
      <c r="H322" s="239"/>
      <c r="I322" s="239"/>
      <c r="J322" s="238"/>
      <c r="K322" s="238"/>
    </row>
    <row r="323" spans="5:11" ht="12.75">
      <c r="E323" s="238"/>
      <c r="F323" s="238"/>
      <c r="G323" s="238"/>
      <c r="H323" s="239"/>
      <c r="I323" s="239"/>
      <c r="J323" s="238"/>
      <c r="K323" s="239"/>
    </row>
    <row r="324" spans="5:11" ht="12.75">
      <c r="E324" s="236"/>
      <c r="F324" s="236"/>
      <c r="G324" s="236"/>
      <c r="H324" s="236"/>
      <c r="I324" s="237"/>
      <c r="J324" s="236"/>
      <c r="K324" s="236"/>
    </row>
    <row r="325" spans="5:11" ht="28.5" customHeight="1">
      <c r="E325" s="222"/>
      <c r="F325" s="222"/>
      <c r="G325" s="222"/>
      <c r="H325" s="236"/>
      <c r="I325" s="237"/>
      <c r="J325" s="236"/>
      <c r="K325" s="237"/>
    </row>
    <row r="326" spans="5:11" ht="16.5">
      <c r="E326" s="222"/>
      <c r="F326" s="222"/>
      <c r="G326" s="222"/>
      <c r="H326" s="236"/>
      <c r="I326" s="236"/>
      <c r="J326" s="236"/>
      <c r="K326" s="236"/>
    </row>
    <row r="327" spans="5:11" ht="45.75" customHeight="1">
      <c r="E327" s="222"/>
      <c r="F327" s="222"/>
      <c r="G327" s="222"/>
      <c r="H327" s="236"/>
      <c r="I327" s="237"/>
      <c r="J327" s="236"/>
      <c r="K327" s="237"/>
    </row>
  </sheetData>
  <sheetProtection/>
  <mergeCells count="12">
    <mergeCell ref="M2:P11"/>
    <mergeCell ref="A6:K6"/>
    <mergeCell ref="E8:K8"/>
    <mergeCell ref="B10:K10"/>
    <mergeCell ref="H11:K11"/>
    <mergeCell ref="A12:D12"/>
    <mergeCell ref="H12:I12"/>
    <mergeCell ref="F12:G12"/>
    <mergeCell ref="J12:K12"/>
    <mergeCell ref="H295:I295"/>
    <mergeCell ref="A288:D290"/>
    <mergeCell ref="A291:D293"/>
  </mergeCells>
  <printOptions/>
  <pageMargins left="0.984251968503937" right="0.1968503937007874" top="0.5905511811023623" bottom="0.5905511811023623" header="0.31496062992125984" footer="0.31496062992125984"/>
  <pageSetup horizontalDpi="600" verticalDpi="600" orientation="landscape" paperSize="9" scale="60" r:id="rId1"/>
  <headerFooter>
    <oddFooter>&amp;R&amp;P</oddFooter>
  </headerFooter>
  <rowBreaks count="4" manualBreakCount="4">
    <brk id="86" max="10" man="1"/>
    <brk id="157" max="10" man="1"/>
    <brk id="232" max="10" man="1"/>
    <brk id="320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tabSelected="1" zoomScalePageLayoutView="0" workbookViewId="0" topLeftCell="A34">
      <selection activeCell="F49" sqref="F49"/>
    </sheetView>
  </sheetViews>
  <sheetFormatPr defaultColWidth="9.140625" defaultRowHeight="12.75"/>
  <cols>
    <col min="1" max="1" width="5.140625" style="22" bestFit="1" customWidth="1"/>
    <col min="2" max="2" width="3.7109375" style="41" customWidth="1"/>
    <col min="3" max="3" width="4.28125" style="41" customWidth="1"/>
    <col min="4" max="4" width="7.00390625" style="41" customWidth="1"/>
    <col min="5" max="5" width="81.57421875" style="22" customWidth="1"/>
    <col min="6" max="7" width="13.421875" style="22" customWidth="1"/>
    <col min="8" max="8" width="15.140625" style="22" customWidth="1"/>
    <col min="9" max="9" width="16.8515625" style="22" bestFit="1" customWidth="1"/>
    <col min="10" max="10" width="16.7109375" style="22" hidden="1" customWidth="1"/>
    <col min="11" max="11" width="17.421875" style="22" hidden="1" customWidth="1"/>
    <col min="12" max="12" width="16.7109375" style="22" hidden="1" customWidth="1"/>
    <col min="13" max="13" width="17.421875" style="22" hidden="1" customWidth="1"/>
    <col min="14" max="14" width="15.140625" style="22" customWidth="1"/>
    <col min="15" max="16" width="16.8515625" style="22" bestFit="1" customWidth="1"/>
    <col min="17" max="18" width="9.140625" style="22" customWidth="1"/>
    <col min="19" max="19" width="16.00390625" style="22" customWidth="1"/>
    <col min="20" max="20" width="9.140625" style="22" customWidth="1"/>
    <col min="21" max="21" width="15.57421875" style="22" customWidth="1"/>
    <col min="22" max="22" width="12.57421875" style="22" customWidth="1"/>
    <col min="23" max="16384" width="9.140625" style="22" customWidth="1"/>
  </cols>
  <sheetData>
    <row r="1" spans="4:13" ht="15" customHeight="1">
      <c r="D1" s="22"/>
      <c r="L1" s="226"/>
      <c r="M1" s="219" t="s">
        <v>197</v>
      </c>
    </row>
    <row r="2" spans="2:18" ht="15" customHeight="1" hidden="1">
      <c r="B2" s="71"/>
      <c r="C2" s="71"/>
      <c r="D2" s="71"/>
      <c r="E2" s="71"/>
      <c r="F2" s="71"/>
      <c r="G2" s="71"/>
      <c r="H2" s="71"/>
      <c r="I2" s="71"/>
      <c r="J2" s="71"/>
      <c r="K2" s="71"/>
      <c r="L2" s="227"/>
      <c r="M2" s="228" t="s">
        <v>536</v>
      </c>
      <c r="N2" s="71"/>
      <c r="O2" s="288"/>
      <c r="P2" s="288"/>
      <c r="Q2" s="288"/>
      <c r="R2" s="288"/>
    </row>
    <row r="3" spans="2:18" ht="15" customHeight="1" hidden="1">
      <c r="B3" s="71"/>
      <c r="C3" s="71"/>
      <c r="D3" s="71"/>
      <c r="E3" s="71"/>
      <c r="F3" s="71"/>
      <c r="G3" s="71"/>
      <c r="H3" s="71"/>
      <c r="I3" s="71"/>
      <c r="J3" s="71"/>
      <c r="K3" s="71"/>
      <c r="L3" s="227"/>
      <c r="M3" s="228" t="s">
        <v>463</v>
      </c>
      <c r="N3" s="71"/>
      <c r="O3" s="288"/>
      <c r="P3" s="288"/>
      <c r="Q3" s="288"/>
      <c r="R3" s="288"/>
    </row>
    <row r="4" spans="2:18" ht="15" customHeight="1" hidden="1">
      <c r="B4" s="71"/>
      <c r="C4" s="71"/>
      <c r="D4" s="71"/>
      <c r="E4" s="71"/>
      <c r="F4" s="71"/>
      <c r="G4" s="71"/>
      <c r="H4" s="71"/>
      <c r="I4" s="71"/>
      <c r="J4" s="71"/>
      <c r="K4" s="71"/>
      <c r="L4" s="227"/>
      <c r="M4" s="228" t="s">
        <v>436</v>
      </c>
      <c r="N4" s="71"/>
      <c r="O4" s="288"/>
      <c r="P4" s="288"/>
      <c r="Q4" s="288"/>
      <c r="R4" s="288"/>
    </row>
    <row r="5" spans="2:18" ht="15" customHeight="1" hidden="1">
      <c r="B5" s="71"/>
      <c r="C5" s="71"/>
      <c r="D5" s="71"/>
      <c r="E5" s="71"/>
      <c r="F5" s="71"/>
      <c r="G5" s="71"/>
      <c r="H5" s="71"/>
      <c r="I5" s="71"/>
      <c r="J5" s="71"/>
      <c r="K5" s="71"/>
      <c r="L5" s="227"/>
      <c r="M5" s="228" t="s">
        <v>437</v>
      </c>
      <c r="N5" s="71"/>
      <c r="O5" s="288"/>
      <c r="P5" s="288"/>
      <c r="Q5" s="288"/>
      <c r="R5" s="288"/>
    </row>
    <row r="6" spans="1:18" ht="15" customHeight="1" hidden="1">
      <c r="A6" s="282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O6" s="288"/>
      <c r="P6" s="288"/>
      <c r="Q6" s="288"/>
      <c r="R6" s="288"/>
    </row>
    <row r="7" spans="1:18" ht="15" customHeight="1" hidden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288"/>
      <c r="P7" s="288"/>
      <c r="Q7" s="288"/>
      <c r="R7" s="288"/>
    </row>
    <row r="8" spans="2:18" ht="44.25" customHeight="1">
      <c r="B8" s="71"/>
      <c r="C8" s="71"/>
      <c r="D8" s="71"/>
      <c r="E8" s="291" t="s">
        <v>543</v>
      </c>
      <c r="F8" s="285"/>
      <c r="G8" s="285"/>
      <c r="H8" s="285"/>
      <c r="I8" s="285"/>
      <c r="J8" s="285"/>
      <c r="K8" s="285"/>
      <c r="L8" s="285"/>
      <c r="M8" s="285"/>
      <c r="O8" s="288"/>
      <c r="P8" s="288"/>
      <c r="Q8" s="288"/>
      <c r="R8" s="288"/>
    </row>
    <row r="9" spans="2:18" ht="15" customHeight="1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288"/>
      <c r="P9" s="288"/>
      <c r="Q9" s="288"/>
      <c r="R9" s="288"/>
    </row>
    <row r="10" spans="2:18" ht="15" customHeight="1">
      <c r="B10" s="285" t="s">
        <v>312</v>
      </c>
      <c r="C10" s="285"/>
      <c r="D10" s="285"/>
      <c r="E10" s="285"/>
      <c r="F10" s="285"/>
      <c r="G10" s="285"/>
      <c r="H10" s="285"/>
      <c r="I10" s="285"/>
      <c r="J10" s="285"/>
      <c r="K10" s="285"/>
      <c r="L10" s="285"/>
      <c r="M10" s="285"/>
      <c r="O10" s="288"/>
      <c r="P10" s="288"/>
      <c r="Q10" s="288"/>
      <c r="R10" s="288"/>
    </row>
    <row r="11" spans="2:18" ht="15.75" customHeight="1">
      <c r="B11" s="30"/>
      <c r="C11" s="30"/>
      <c r="D11" s="30"/>
      <c r="E11" s="203"/>
      <c r="F11" s="203"/>
      <c r="G11" s="203"/>
      <c r="H11" s="203"/>
      <c r="I11" s="203"/>
      <c r="J11" s="284" t="s">
        <v>537</v>
      </c>
      <c r="K11" s="284"/>
      <c r="L11" s="284"/>
      <c r="M11" s="284"/>
      <c r="N11" s="203"/>
      <c r="O11" s="288"/>
      <c r="P11" s="288"/>
      <c r="Q11" s="288"/>
      <c r="R11" s="288"/>
    </row>
    <row r="12" spans="1:15" ht="18" customHeight="1">
      <c r="A12" s="283" t="s">
        <v>0</v>
      </c>
      <c r="B12" s="283"/>
      <c r="C12" s="283"/>
      <c r="D12" s="283"/>
      <c r="E12" s="197" t="s">
        <v>1</v>
      </c>
      <c r="F12" s="281" t="s">
        <v>539</v>
      </c>
      <c r="G12" s="280"/>
      <c r="H12" s="281" t="s">
        <v>538</v>
      </c>
      <c r="I12" s="280"/>
      <c r="J12" s="281">
        <v>2020</v>
      </c>
      <c r="K12" s="280"/>
      <c r="L12" s="281" t="s">
        <v>467</v>
      </c>
      <c r="M12" s="280"/>
      <c r="N12" s="281" t="s">
        <v>544</v>
      </c>
      <c r="O12" s="280"/>
    </row>
    <row r="13" spans="1:15" s="44" customFormat="1" ht="18" customHeight="1">
      <c r="A13" s="81" t="s">
        <v>73</v>
      </c>
      <c r="B13" s="31" t="s">
        <v>74</v>
      </c>
      <c r="C13" s="32"/>
      <c r="D13" s="33" t="s">
        <v>75</v>
      </c>
      <c r="E13" s="34"/>
      <c r="F13" s="82" t="s">
        <v>104</v>
      </c>
      <c r="G13" s="82" t="s">
        <v>26</v>
      </c>
      <c r="H13" s="82" t="s">
        <v>104</v>
      </c>
      <c r="I13" s="82" t="s">
        <v>26</v>
      </c>
      <c r="J13" s="82" t="s">
        <v>104</v>
      </c>
      <c r="K13" s="82" t="s">
        <v>26</v>
      </c>
      <c r="L13" s="82" t="s">
        <v>104</v>
      </c>
      <c r="M13" s="82" t="s">
        <v>26</v>
      </c>
      <c r="N13" s="82" t="s">
        <v>104</v>
      </c>
      <c r="O13" s="82" t="s">
        <v>26</v>
      </c>
    </row>
    <row r="14" spans="1:15" s="44" customFormat="1" ht="16.5" hidden="1">
      <c r="A14" s="230"/>
      <c r="B14" s="240"/>
      <c r="C14" s="240"/>
      <c r="D14" s="240"/>
      <c r="E14" s="245" t="s">
        <v>2</v>
      </c>
      <c r="F14" s="245"/>
      <c r="G14" s="245"/>
      <c r="H14" s="248">
        <f aca="true" t="shared" si="0" ref="H14:O14">H15</f>
        <v>151.2</v>
      </c>
      <c r="I14" s="248">
        <f t="shared" si="0"/>
        <v>351568.64</v>
      </c>
      <c r="J14" s="248">
        <f t="shared" si="0"/>
        <v>190</v>
      </c>
      <c r="K14" s="248">
        <f t="shared" si="0"/>
        <v>108147</v>
      </c>
      <c r="L14" s="248">
        <f t="shared" si="0"/>
        <v>0</v>
      </c>
      <c r="M14" s="248">
        <f t="shared" si="0"/>
        <v>0</v>
      </c>
      <c r="N14" s="248">
        <f t="shared" si="0"/>
        <v>151.2</v>
      </c>
      <c r="O14" s="248">
        <f t="shared" si="0"/>
        <v>351568.64</v>
      </c>
    </row>
    <row r="15" spans="1:15" ht="16.5" hidden="1">
      <c r="A15" s="230"/>
      <c r="B15" s="240"/>
      <c r="C15" s="240"/>
      <c r="D15" s="240"/>
      <c r="E15" s="246" t="s">
        <v>313</v>
      </c>
      <c r="F15" s="246"/>
      <c r="G15" s="246"/>
      <c r="H15" s="250">
        <f aca="true" t="shared" si="1" ref="H15:M15">SUM(H16:H22)</f>
        <v>151.2</v>
      </c>
      <c r="I15" s="250">
        <f t="shared" si="1"/>
        <v>351568.64</v>
      </c>
      <c r="J15" s="250">
        <f t="shared" si="1"/>
        <v>190</v>
      </c>
      <c r="K15" s="250">
        <f t="shared" si="1"/>
        <v>108147</v>
      </c>
      <c r="L15" s="250">
        <f t="shared" si="1"/>
        <v>0</v>
      </c>
      <c r="M15" s="250">
        <f t="shared" si="1"/>
        <v>0</v>
      </c>
      <c r="N15" s="250">
        <f>SUM(N16:N22)</f>
        <v>151.2</v>
      </c>
      <c r="O15" s="250">
        <f>SUM(O16:O22)</f>
        <v>351568.64</v>
      </c>
    </row>
    <row r="16" spans="1:15" ht="18" customHeight="1" hidden="1">
      <c r="A16" s="230">
        <v>311</v>
      </c>
      <c r="B16" s="240">
        <v>25</v>
      </c>
      <c r="C16" s="240">
        <v>911</v>
      </c>
      <c r="D16" s="241">
        <v>70499</v>
      </c>
      <c r="E16" s="244" t="s">
        <v>391</v>
      </c>
      <c r="F16" s="244"/>
      <c r="G16" s="244"/>
      <c r="H16" s="252">
        <v>151.2</v>
      </c>
      <c r="I16" s="252">
        <v>0</v>
      </c>
      <c r="J16" s="252">
        <v>190</v>
      </c>
      <c r="K16" s="252">
        <v>0</v>
      </c>
      <c r="L16" s="250"/>
      <c r="M16" s="250"/>
      <c r="N16" s="252">
        <v>151.2</v>
      </c>
      <c r="O16" s="252">
        <v>0</v>
      </c>
    </row>
    <row r="17" spans="1:15" ht="18" customHeight="1" hidden="1">
      <c r="A17" s="230">
        <v>311</v>
      </c>
      <c r="B17" s="240">
        <v>25</v>
      </c>
      <c r="C17" s="240">
        <v>921</v>
      </c>
      <c r="D17" s="241">
        <v>70499</v>
      </c>
      <c r="E17" s="244" t="s">
        <v>348</v>
      </c>
      <c r="F17" s="244"/>
      <c r="G17" s="244"/>
      <c r="H17" s="252">
        <v>0</v>
      </c>
      <c r="I17" s="252">
        <v>6840.4</v>
      </c>
      <c r="J17" s="252">
        <v>0</v>
      </c>
      <c r="K17" s="252">
        <v>14100</v>
      </c>
      <c r="L17" s="252"/>
      <c r="M17" s="252"/>
      <c r="N17" s="252">
        <v>0</v>
      </c>
      <c r="O17" s="252">
        <v>6840.4</v>
      </c>
    </row>
    <row r="18" spans="1:15" ht="33" hidden="1">
      <c r="A18" s="230">
        <v>321</v>
      </c>
      <c r="B18" s="240">
        <v>25</v>
      </c>
      <c r="C18" s="240">
        <v>921</v>
      </c>
      <c r="D18" s="241">
        <v>70499</v>
      </c>
      <c r="E18" s="244" t="s">
        <v>348</v>
      </c>
      <c r="F18" s="244"/>
      <c r="G18" s="244"/>
      <c r="H18" s="252">
        <v>0</v>
      </c>
      <c r="I18" s="252">
        <v>291484.8</v>
      </c>
      <c r="J18" s="250"/>
      <c r="K18" s="252"/>
      <c r="L18" s="250"/>
      <c r="M18" s="252"/>
      <c r="N18" s="252">
        <v>0</v>
      </c>
      <c r="O18" s="252">
        <v>291484.8</v>
      </c>
    </row>
    <row r="19" spans="1:15" ht="16.5" hidden="1">
      <c r="A19" s="230">
        <v>321</v>
      </c>
      <c r="B19" s="240">
        <v>25</v>
      </c>
      <c r="C19" s="240">
        <v>931</v>
      </c>
      <c r="D19" s="241">
        <v>70499</v>
      </c>
      <c r="E19" s="244" t="s">
        <v>468</v>
      </c>
      <c r="F19" s="244"/>
      <c r="G19" s="244"/>
      <c r="H19" s="252">
        <v>0</v>
      </c>
      <c r="I19" s="252">
        <v>0</v>
      </c>
      <c r="J19" s="252"/>
      <c r="K19" s="252"/>
      <c r="L19" s="252"/>
      <c r="M19" s="252"/>
      <c r="N19" s="252">
        <v>0</v>
      </c>
      <c r="O19" s="252">
        <v>0</v>
      </c>
    </row>
    <row r="20" spans="1:15" ht="16.5" hidden="1">
      <c r="A20" s="230">
        <v>311</v>
      </c>
      <c r="B20" s="240">
        <v>25</v>
      </c>
      <c r="C20" s="240">
        <v>921</v>
      </c>
      <c r="D20" s="241">
        <v>70499</v>
      </c>
      <c r="E20" s="244" t="s">
        <v>469</v>
      </c>
      <c r="F20" s="244"/>
      <c r="G20" s="244"/>
      <c r="H20" s="252">
        <v>0</v>
      </c>
      <c r="I20" s="252">
        <v>3685.4399999999996</v>
      </c>
      <c r="J20" s="252"/>
      <c r="K20" s="252"/>
      <c r="L20" s="252"/>
      <c r="M20" s="252"/>
      <c r="N20" s="252">
        <v>0</v>
      </c>
      <c r="O20" s="252">
        <v>3685.4399999999996</v>
      </c>
    </row>
    <row r="21" spans="1:15" ht="33" hidden="1">
      <c r="A21" s="230">
        <v>311</v>
      </c>
      <c r="B21" s="240">
        <v>25</v>
      </c>
      <c r="C21" s="240">
        <v>921</v>
      </c>
      <c r="D21" s="241">
        <v>70499</v>
      </c>
      <c r="E21" s="244" t="s">
        <v>420</v>
      </c>
      <c r="F21" s="244"/>
      <c r="G21" s="244"/>
      <c r="H21" s="252">
        <v>0</v>
      </c>
      <c r="I21" s="252">
        <v>9423</v>
      </c>
      <c r="J21" s="252"/>
      <c r="K21" s="252">
        <v>7684.5</v>
      </c>
      <c r="L21" s="252"/>
      <c r="M21" s="252"/>
      <c r="N21" s="252">
        <v>0</v>
      </c>
      <c r="O21" s="252">
        <v>9423</v>
      </c>
    </row>
    <row r="22" spans="1:15" ht="33" hidden="1">
      <c r="A22" s="230">
        <v>321</v>
      </c>
      <c r="B22" s="240">
        <v>25</v>
      </c>
      <c r="C22" s="240">
        <v>931</v>
      </c>
      <c r="D22" s="241">
        <v>70499</v>
      </c>
      <c r="E22" s="244" t="s">
        <v>421</v>
      </c>
      <c r="F22" s="244"/>
      <c r="G22" s="244"/>
      <c r="H22" s="252">
        <v>0</v>
      </c>
      <c r="I22" s="252">
        <v>40135</v>
      </c>
      <c r="J22" s="252"/>
      <c r="K22" s="252">
        <v>86362.5</v>
      </c>
      <c r="L22" s="252"/>
      <c r="M22" s="252"/>
      <c r="N22" s="252">
        <v>0</v>
      </c>
      <c r="O22" s="252">
        <v>40135</v>
      </c>
    </row>
    <row r="23" spans="1:15" ht="16.5" hidden="1">
      <c r="A23" s="230"/>
      <c r="B23" s="240"/>
      <c r="C23" s="240"/>
      <c r="D23" s="242"/>
      <c r="E23" s="244"/>
      <c r="F23" s="244"/>
      <c r="G23" s="244"/>
      <c r="H23" s="252">
        <v>0</v>
      </c>
      <c r="I23" s="252">
        <v>0</v>
      </c>
      <c r="J23" s="252"/>
      <c r="K23" s="252"/>
      <c r="L23" s="252"/>
      <c r="M23" s="252"/>
      <c r="N23" s="252">
        <v>0</v>
      </c>
      <c r="O23" s="252">
        <v>0</v>
      </c>
    </row>
    <row r="24" spans="1:15" ht="16.5" hidden="1">
      <c r="A24" s="230"/>
      <c r="B24" s="240"/>
      <c r="C24" s="240"/>
      <c r="D24" s="240"/>
      <c r="E24" s="245" t="s">
        <v>41</v>
      </c>
      <c r="F24" s="245"/>
      <c r="G24" s="245"/>
      <c r="H24" s="248">
        <f aca="true" t="shared" si="2" ref="H24:O24">H25</f>
        <v>5025.599999999999</v>
      </c>
      <c r="I24" s="248">
        <f t="shared" si="2"/>
        <v>79990.79999999999</v>
      </c>
      <c r="J24" s="248">
        <f t="shared" si="2"/>
        <v>19000</v>
      </c>
      <c r="K24" s="248">
        <f t="shared" si="2"/>
        <v>346084.5</v>
      </c>
      <c r="L24" s="248">
        <f t="shared" si="2"/>
        <v>0</v>
      </c>
      <c r="M24" s="248">
        <f t="shared" si="2"/>
        <v>0</v>
      </c>
      <c r="N24" s="248">
        <f t="shared" si="2"/>
        <v>5025.599999999999</v>
      </c>
      <c r="O24" s="248">
        <f t="shared" si="2"/>
        <v>79990.79999999999</v>
      </c>
    </row>
    <row r="25" spans="1:15" ht="18" customHeight="1" hidden="1">
      <c r="A25" s="230"/>
      <c r="B25" s="240"/>
      <c r="C25" s="240"/>
      <c r="D25" s="240"/>
      <c r="E25" s="246" t="s">
        <v>313</v>
      </c>
      <c r="F25" s="246"/>
      <c r="G25" s="246"/>
      <c r="H25" s="250">
        <f aca="true" t="shared" si="3" ref="H25:M25">SUM(H26:H29)</f>
        <v>5025.599999999999</v>
      </c>
      <c r="I25" s="250">
        <f t="shared" si="3"/>
        <v>79990.79999999999</v>
      </c>
      <c r="J25" s="250">
        <f t="shared" si="3"/>
        <v>19000</v>
      </c>
      <c r="K25" s="250">
        <f t="shared" si="3"/>
        <v>346084.5</v>
      </c>
      <c r="L25" s="250">
        <f t="shared" si="3"/>
        <v>0</v>
      </c>
      <c r="M25" s="250">
        <f t="shared" si="3"/>
        <v>0</v>
      </c>
      <c r="N25" s="250">
        <f>SUM(N26:N29)</f>
        <v>5025.599999999999</v>
      </c>
      <c r="O25" s="250">
        <f>SUM(O26:O29)</f>
        <v>79990.79999999999</v>
      </c>
    </row>
    <row r="26" spans="1:15" ht="18" customHeight="1" hidden="1">
      <c r="A26" s="230">
        <v>311</v>
      </c>
      <c r="B26" s="240">
        <v>28</v>
      </c>
      <c r="C26" s="240">
        <v>910</v>
      </c>
      <c r="D26" s="241">
        <v>70499</v>
      </c>
      <c r="E26" s="247" t="s">
        <v>102</v>
      </c>
      <c r="F26" s="247"/>
      <c r="G26" s="247"/>
      <c r="H26" s="252">
        <v>5025.599999999999</v>
      </c>
      <c r="I26" s="252">
        <v>0</v>
      </c>
      <c r="J26" s="252">
        <v>19000</v>
      </c>
      <c r="K26" s="252">
        <v>0</v>
      </c>
      <c r="L26" s="248"/>
      <c r="M26" s="248"/>
      <c r="N26" s="252">
        <v>5025.599999999999</v>
      </c>
      <c r="O26" s="252">
        <v>0</v>
      </c>
    </row>
    <row r="27" spans="1:15" ht="18" customHeight="1" hidden="1">
      <c r="A27" s="230">
        <v>311</v>
      </c>
      <c r="B27" s="240">
        <v>28</v>
      </c>
      <c r="C27" s="240">
        <v>920</v>
      </c>
      <c r="D27" s="241">
        <v>70499</v>
      </c>
      <c r="E27" s="247" t="s">
        <v>101</v>
      </c>
      <c r="F27" s="247"/>
      <c r="G27" s="247"/>
      <c r="H27" s="252">
        <v>0</v>
      </c>
      <c r="I27" s="252">
        <v>16333.199999999999</v>
      </c>
      <c r="J27" s="252">
        <v>0</v>
      </c>
      <c r="K27" s="252">
        <v>42934.5</v>
      </c>
      <c r="L27" s="250"/>
      <c r="M27" s="250"/>
      <c r="N27" s="252">
        <v>0</v>
      </c>
      <c r="O27" s="252">
        <v>16333.199999999999</v>
      </c>
    </row>
    <row r="28" spans="1:15" ht="18" customHeight="1" hidden="1">
      <c r="A28" s="230">
        <v>311</v>
      </c>
      <c r="B28" s="240">
        <v>28</v>
      </c>
      <c r="C28" s="240">
        <v>930</v>
      </c>
      <c r="D28" s="241">
        <v>70499</v>
      </c>
      <c r="E28" s="247" t="s">
        <v>100</v>
      </c>
      <c r="F28" s="247"/>
      <c r="G28" s="247"/>
      <c r="H28" s="252">
        <v>0</v>
      </c>
      <c r="I28" s="252">
        <v>23173.6</v>
      </c>
      <c r="J28" s="252">
        <v>0</v>
      </c>
      <c r="K28" s="252">
        <v>105750</v>
      </c>
      <c r="L28" s="252"/>
      <c r="M28" s="258"/>
      <c r="N28" s="252">
        <v>0</v>
      </c>
      <c r="O28" s="252">
        <v>23173.6</v>
      </c>
    </row>
    <row r="29" spans="1:15" ht="18" customHeight="1" hidden="1">
      <c r="A29" s="230">
        <v>311</v>
      </c>
      <c r="B29" s="240">
        <v>28</v>
      </c>
      <c r="C29" s="240">
        <v>920</v>
      </c>
      <c r="D29" s="241">
        <v>70499</v>
      </c>
      <c r="E29" s="247" t="s">
        <v>470</v>
      </c>
      <c r="F29" s="247"/>
      <c r="G29" s="247"/>
      <c r="H29" s="252">
        <v>0</v>
      </c>
      <c r="I29" s="252">
        <v>40484</v>
      </c>
      <c r="J29" s="252">
        <v>0</v>
      </c>
      <c r="K29" s="252">
        <v>197400</v>
      </c>
      <c r="L29" s="252"/>
      <c r="M29" s="252"/>
      <c r="N29" s="252">
        <v>0</v>
      </c>
      <c r="O29" s="252">
        <v>40484</v>
      </c>
    </row>
    <row r="30" spans="1:15" ht="18" customHeight="1" hidden="1">
      <c r="A30" s="230"/>
      <c r="B30" s="240"/>
      <c r="C30" s="240"/>
      <c r="D30" s="241"/>
      <c r="E30" s="244"/>
      <c r="F30" s="244"/>
      <c r="G30" s="244"/>
      <c r="H30" s="252">
        <v>0</v>
      </c>
      <c r="I30" s="252">
        <v>0</v>
      </c>
      <c r="J30" s="252"/>
      <c r="K30" s="252"/>
      <c r="L30" s="252"/>
      <c r="M30" s="252"/>
      <c r="N30" s="252">
        <v>0</v>
      </c>
      <c r="O30" s="252">
        <v>0</v>
      </c>
    </row>
    <row r="31" spans="1:15" ht="16.5">
      <c r="A31" s="230"/>
      <c r="B31" s="240"/>
      <c r="C31" s="240"/>
      <c r="D31" s="240"/>
      <c r="E31" s="245" t="s">
        <v>7</v>
      </c>
      <c r="F31" s="248">
        <f>F32</f>
        <v>46460</v>
      </c>
      <c r="G31" s="248">
        <f aca="true" t="shared" si="4" ref="G31:O31">G32</f>
        <v>352957.66000000003</v>
      </c>
      <c r="H31" s="248">
        <f t="shared" si="4"/>
        <v>32600</v>
      </c>
      <c r="I31" s="248">
        <f t="shared" si="4"/>
        <v>347673.8</v>
      </c>
      <c r="J31" s="248">
        <f t="shared" si="4"/>
        <v>68100</v>
      </c>
      <c r="K31" s="248">
        <f t="shared" si="4"/>
        <v>564000</v>
      </c>
      <c r="L31" s="248">
        <f t="shared" si="4"/>
        <v>79856</v>
      </c>
      <c r="M31" s="248">
        <f t="shared" si="4"/>
        <v>559512.49</v>
      </c>
      <c r="N31" s="248">
        <f t="shared" si="4"/>
        <v>31752.6</v>
      </c>
      <c r="O31" s="248">
        <f t="shared" si="4"/>
        <v>338409.04000000004</v>
      </c>
    </row>
    <row r="32" spans="1:15" ht="16.5">
      <c r="A32" s="230"/>
      <c r="B32" s="240"/>
      <c r="C32" s="240"/>
      <c r="D32" s="240"/>
      <c r="E32" s="246" t="s">
        <v>313</v>
      </c>
      <c r="F32" s="250">
        <f>F38+F45</f>
        <v>46460</v>
      </c>
      <c r="G32" s="250">
        <f>G38+G45</f>
        <v>352957.66000000003</v>
      </c>
      <c r="H32" s="250">
        <f>H38+H45</f>
        <v>32600</v>
      </c>
      <c r="I32" s="250">
        <f>I38+I45</f>
        <v>347673.8</v>
      </c>
      <c r="J32" s="250">
        <f>J38+J45</f>
        <v>68100</v>
      </c>
      <c r="K32" s="250">
        <f>K38+K45</f>
        <v>564000</v>
      </c>
      <c r="L32" s="250">
        <f>L38+L45</f>
        <v>79856</v>
      </c>
      <c r="M32" s="250">
        <f>M38+M45</f>
        <v>559512.49</v>
      </c>
      <c r="N32" s="250">
        <f>N38+N45</f>
        <v>31752.6</v>
      </c>
      <c r="O32" s="250">
        <f>O38+O45</f>
        <v>338409.04000000004</v>
      </c>
    </row>
    <row r="33" spans="1:15" ht="18" customHeight="1">
      <c r="A33" s="230">
        <v>311</v>
      </c>
      <c r="B33" s="240">
        <v>34</v>
      </c>
      <c r="C33" s="240">
        <v>911</v>
      </c>
      <c r="D33" s="241">
        <v>70989</v>
      </c>
      <c r="E33" s="244" t="s">
        <v>337</v>
      </c>
      <c r="F33" s="268">
        <v>2443</v>
      </c>
      <c r="G33" s="268"/>
      <c r="H33" s="252">
        <v>1600</v>
      </c>
      <c r="I33" s="252"/>
      <c r="J33" s="248"/>
      <c r="K33" s="248"/>
      <c r="L33" s="248"/>
      <c r="M33" s="248"/>
      <c r="N33" s="252">
        <v>1600</v>
      </c>
      <c r="O33" s="252"/>
    </row>
    <row r="34" spans="1:15" ht="18" customHeight="1">
      <c r="A34" s="230">
        <v>311</v>
      </c>
      <c r="B34" s="240">
        <v>34</v>
      </c>
      <c r="C34" s="240">
        <v>921</v>
      </c>
      <c r="D34" s="241">
        <v>70989</v>
      </c>
      <c r="E34" s="244" t="s">
        <v>423</v>
      </c>
      <c r="F34" s="268"/>
      <c r="G34" s="268">
        <v>45621.28</v>
      </c>
      <c r="H34" s="252"/>
      <c r="I34" s="252">
        <v>49837.2</v>
      </c>
      <c r="J34" s="250"/>
      <c r="K34" s="250"/>
      <c r="L34" s="250"/>
      <c r="M34" s="250"/>
      <c r="N34" s="252"/>
      <c r="O34" s="252">
        <v>40649.2</v>
      </c>
    </row>
    <row r="35" spans="1:15" ht="18" customHeight="1">
      <c r="A35" s="230">
        <v>311</v>
      </c>
      <c r="B35" s="240">
        <v>34</v>
      </c>
      <c r="C35" s="240">
        <v>931</v>
      </c>
      <c r="D35" s="241">
        <v>70989</v>
      </c>
      <c r="E35" s="244" t="s">
        <v>424</v>
      </c>
      <c r="F35" s="268"/>
      <c r="G35" s="268">
        <v>51554.28</v>
      </c>
      <c r="H35" s="252"/>
      <c r="I35" s="252">
        <v>47408.16</v>
      </c>
      <c r="J35" s="252"/>
      <c r="K35" s="252"/>
      <c r="L35" s="252"/>
      <c r="M35" s="252"/>
      <c r="N35" s="252"/>
      <c r="O35" s="252">
        <v>47331.4</v>
      </c>
    </row>
    <row r="36" spans="1:15" ht="18" customHeight="1">
      <c r="A36" s="230">
        <v>311</v>
      </c>
      <c r="B36" s="240">
        <v>34</v>
      </c>
      <c r="C36" s="240">
        <v>911</v>
      </c>
      <c r="D36" s="241">
        <v>70989</v>
      </c>
      <c r="E36" s="244" t="s">
        <v>288</v>
      </c>
      <c r="F36" s="268">
        <v>16305</v>
      </c>
      <c r="G36" s="268"/>
      <c r="H36" s="252">
        <v>9000</v>
      </c>
      <c r="I36" s="252"/>
      <c r="J36" s="252">
        <v>21100</v>
      </c>
      <c r="K36" s="252">
        <v>0</v>
      </c>
      <c r="L36" s="252">
        <v>39215</v>
      </c>
      <c r="M36" s="252">
        <v>0</v>
      </c>
      <c r="N36" s="252">
        <v>8152.6</v>
      </c>
      <c r="O36" s="252"/>
    </row>
    <row r="37" spans="1:15" ht="33">
      <c r="A37" s="230">
        <v>311</v>
      </c>
      <c r="B37" s="240">
        <v>34</v>
      </c>
      <c r="C37" s="240">
        <v>921</v>
      </c>
      <c r="D37" s="241">
        <v>70989</v>
      </c>
      <c r="E37" s="244" t="s">
        <v>208</v>
      </c>
      <c r="F37" s="268"/>
      <c r="G37" s="268">
        <v>104700</v>
      </c>
      <c r="H37" s="252"/>
      <c r="I37" s="252">
        <v>139600</v>
      </c>
      <c r="J37" s="252">
        <v>0</v>
      </c>
      <c r="K37" s="252">
        <v>141000</v>
      </c>
      <c r="L37" s="252">
        <v>0</v>
      </c>
      <c r="M37" s="252">
        <v>181622.49000000002</v>
      </c>
      <c r="N37" s="252"/>
      <c r="O37" s="252">
        <v>139600</v>
      </c>
    </row>
    <row r="38" spans="1:15" s="202" customFormat="1" ht="16.5" customHeight="1" hidden="1">
      <c r="A38" s="266"/>
      <c r="B38" s="267"/>
      <c r="C38" s="267"/>
      <c r="D38" s="265"/>
      <c r="E38" s="245" t="s">
        <v>540</v>
      </c>
      <c r="F38" s="269">
        <f>SUM(F33:F37)</f>
        <v>18748</v>
      </c>
      <c r="G38" s="269">
        <f>SUM(G33:G37)</f>
        <v>201875.56</v>
      </c>
      <c r="H38" s="269">
        <f aca="true" t="shared" si="5" ref="H38:O38">SUM(H33:H37)</f>
        <v>10600</v>
      </c>
      <c r="I38" s="269">
        <f t="shared" si="5"/>
        <v>236845.36</v>
      </c>
      <c r="J38" s="269">
        <f t="shared" si="5"/>
        <v>21100</v>
      </c>
      <c r="K38" s="269">
        <f t="shared" si="5"/>
        <v>141000</v>
      </c>
      <c r="L38" s="269">
        <f t="shared" si="5"/>
        <v>39215</v>
      </c>
      <c r="M38" s="269">
        <f t="shared" si="5"/>
        <v>181622.49000000002</v>
      </c>
      <c r="N38" s="269">
        <f t="shared" si="5"/>
        <v>9752.6</v>
      </c>
      <c r="O38" s="269">
        <f t="shared" si="5"/>
        <v>227580.6</v>
      </c>
    </row>
    <row r="39" spans="1:15" s="202" customFormat="1" ht="16.5" customHeight="1" hidden="1">
      <c r="A39" s="266"/>
      <c r="B39" s="267"/>
      <c r="C39" s="267"/>
      <c r="D39" s="265"/>
      <c r="E39" s="245" t="s">
        <v>542</v>
      </c>
      <c r="F39" s="289">
        <f>F38+G38</f>
        <v>220623.56</v>
      </c>
      <c r="G39" s="290"/>
      <c r="H39" s="289">
        <f>H38+I38</f>
        <v>247445.36</v>
      </c>
      <c r="I39" s="290"/>
      <c r="J39" s="269"/>
      <c r="K39" s="269"/>
      <c r="L39" s="269"/>
      <c r="M39" s="269"/>
      <c r="N39" s="289">
        <f>N38+O38</f>
        <v>237333.2</v>
      </c>
      <c r="O39" s="290"/>
    </row>
    <row r="40" spans="1:21" ht="33">
      <c r="A40" s="230">
        <v>311</v>
      </c>
      <c r="B40" s="240">
        <v>34</v>
      </c>
      <c r="C40" s="240">
        <v>911</v>
      </c>
      <c r="D40" s="241">
        <v>70989</v>
      </c>
      <c r="E40" s="244" t="s">
        <v>38</v>
      </c>
      <c r="F40" s="268">
        <v>16752</v>
      </c>
      <c r="G40" s="268"/>
      <c r="H40" s="252">
        <v>15000</v>
      </c>
      <c r="I40" s="252"/>
      <c r="J40" s="252"/>
      <c r="K40" s="252"/>
      <c r="L40" s="252"/>
      <c r="M40" s="252"/>
      <c r="N40" s="252">
        <v>15000</v>
      </c>
      <c r="O40" s="252"/>
      <c r="Q40" s="205"/>
      <c r="S40" s="205"/>
      <c r="U40" s="205"/>
    </row>
    <row r="41" spans="1:15" ht="33">
      <c r="A41" s="230">
        <v>311</v>
      </c>
      <c r="B41" s="240">
        <v>34</v>
      </c>
      <c r="C41" s="240">
        <v>921</v>
      </c>
      <c r="D41" s="241">
        <v>70989</v>
      </c>
      <c r="E41" s="244" t="s">
        <v>27</v>
      </c>
      <c r="F41" s="268"/>
      <c r="G41" s="268">
        <v>34376.5</v>
      </c>
      <c r="H41" s="252"/>
      <c r="I41" s="252">
        <v>11866</v>
      </c>
      <c r="J41" s="252"/>
      <c r="K41" s="252"/>
      <c r="L41" s="252"/>
      <c r="M41" s="252"/>
      <c r="N41" s="252"/>
      <c r="O41" s="252">
        <v>11866</v>
      </c>
    </row>
    <row r="42" spans="1:15" ht="33">
      <c r="A42" s="230">
        <v>311</v>
      </c>
      <c r="B42" s="240">
        <v>34</v>
      </c>
      <c r="C42" s="240">
        <v>931</v>
      </c>
      <c r="D42" s="241">
        <v>70989</v>
      </c>
      <c r="E42" s="244" t="s">
        <v>39</v>
      </c>
      <c r="F42" s="268"/>
      <c r="G42" s="268">
        <v>15495.599999999999</v>
      </c>
      <c r="H42" s="252"/>
      <c r="I42" s="252">
        <v>14015.84</v>
      </c>
      <c r="J42" s="252"/>
      <c r="K42" s="252"/>
      <c r="L42" s="252"/>
      <c r="M42" s="252"/>
      <c r="N42" s="252"/>
      <c r="O42" s="252">
        <v>14015.84</v>
      </c>
    </row>
    <row r="43" spans="1:16" ht="24.75" customHeight="1">
      <c r="A43" s="230">
        <v>311</v>
      </c>
      <c r="B43" s="240">
        <v>34</v>
      </c>
      <c r="C43" s="240">
        <v>911</v>
      </c>
      <c r="D43" s="241">
        <v>70989</v>
      </c>
      <c r="E43" s="244" t="s">
        <v>367</v>
      </c>
      <c r="F43" s="268">
        <v>10960</v>
      </c>
      <c r="G43" s="268"/>
      <c r="H43" s="252">
        <v>7000</v>
      </c>
      <c r="I43" s="252"/>
      <c r="J43" s="252">
        <v>47000</v>
      </c>
      <c r="K43" s="252">
        <v>0</v>
      </c>
      <c r="L43" s="252">
        <v>40641</v>
      </c>
      <c r="M43" s="252">
        <v>0</v>
      </c>
      <c r="N43" s="252">
        <v>7000</v>
      </c>
      <c r="O43" s="252"/>
      <c r="P43" s="217"/>
    </row>
    <row r="44" spans="1:15" ht="33">
      <c r="A44" s="230">
        <v>311</v>
      </c>
      <c r="B44" s="240">
        <v>34</v>
      </c>
      <c r="C44" s="240">
        <v>921</v>
      </c>
      <c r="D44" s="241">
        <v>70989</v>
      </c>
      <c r="E44" s="244" t="s">
        <v>368</v>
      </c>
      <c r="F44" s="268"/>
      <c r="G44" s="252">
        <v>101210</v>
      </c>
      <c r="H44" s="252"/>
      <c r="I44" s="252">
        <v>84946.59999999999</v>
      </c>
      <c r="J44" s="252">
        <v>0</v>
      </c>
      <c r="K44" s="252">
        <v>423000</v>
      </c>
      <c r="L44" s="252">
        <v>0</v>
      </c>
      <c r="M44" s="252">
        <v>377890</v>
      </c>
      <c r="N44" s="252"/>
      <c r="O44" s="252">
        <v>84946.6</v>
      </c>
    </row>
    <row r="45" spans="1:15" s="202" customFormat="1" ht="16.5" hidden="1">
      <c r="A45" s="266"/>
      <c r="B45" s="267"/>
      <c r="C45" s="267"/>
      <c r="D45" s="265"/>
      <c r="E45" s="245" t="s">
        <v>541</v>
      </c>
      <c r="F45" s="269">
        <f>SUM(F40:F44)</f>
        <v>27712</v>
      </c>
      <c r="G45" s="269">
        <f aca="true" t="shared" si="6" ref="G45:O45">SUM(G40:G44)</f>
        <v>151082.1</v>
      </c>
      <c r="H45" s="269">
        <f t="shared" si="6"/>
        <v>22000</v>
      </c>
      <c r="I45" s="269">
        <f t="shared" si="6"/>
        <v>110828.43999999999</v>
      </c>
      <c r="J45" s="269">
        <f t="shared" si="6"/>
        <v>47000</v>
      </c>
      <c r="K45" s="269">
        <f t="shared" si="6"/>
        <v>423000</v>
      </c>
      <c r="L45" s="269">
        <f t="shared" si="6"/>
        <v>40641</v>
      </c>
      <c r="M45" s="269">
        <f t="shared" si="6"/>
        <v>377890</v>
      </c>
      <c r="N45" s="269">
        <f t="shared" si="6"/>
        <v>22000</v>
      </c>
      <c r="O45" s="269">
        <f t="shared" si="6"/>
        <v>110828.44</v>
      </c>
    </row>
    <row r="46" spans="1:15" s="202" customFormat="1" ht="16.5" hidden="1">
      <c r="A46" s="266"/>
      <c r="B46" s="267"/>
      <c r="C46" s="267"/>
      <c r="D46" s="265"/>
      <c r="E46" s="245" t="s">
        <v>542</v>
      </c>
      <c r="F46" s="289">
        <f>F45+G45</f>
        <v>178794.1</v>
      </c>
      <c r="G46" s="290"/>
      <c r="H46" s="289">
        <f>H45+I45</f>
        <v>132828.44</v>
      </c>
      <c r="I46" s="290"/>
      <c r="J46" s="269"/>
      <c r="K46" s="269"/>
      <c r="L46" s="269"/>
      <c r="M46" s="269"/>
      <c r="N46" s="289">
        <f>N45+O45</f>
        <v>132828.44</v>
      </c>
      <c r="O46" s="290"/>
    </row>
    <row r="47" spans="1:18" ht="18" customHeight="1">
      <c r="A47" s="221"/>
      <c r="B47" s="221"/>
      <c r="C47" s="221"/>
      <c r="D47" s="221"/>
      <c r="E47" s="231"/>
      <c r="F47" s="231"/>
      <c r="G47" s="231"/>
      <c r="H47" s="231"/>
      <c r="I47" s="231"/>
      <c r="J47" s="223"/>
      <c r="K47" s="223"/>
      <c r="L47" s="223"/>
      <c r="M47" s="223"/>
      <c r="N47" s="231"/>
      <c r="O47" s="231"/>
      <c r="P47" s="48"/>
      <c r="Q47" s="225"/>
      <c r="R47" s="225"/>
    </row>
    <row r="48" spans="1:18" ht="18" customHeight="1">
      <c r="A48" s="221"/>
      <c r="B48" s="221"/>
      <c r="C48" s="221"/>
      <c r="D48" s="221"/>
      <c r="E48" s="231"/>
      <c r="F48" s="231"/>
      <c r="G48" s="231"/>
      <c r="H48" s="231"/>
      <c r="I48" s="231"/>
      <c r="J48" s="223"/>
      <c r="K48" s="223"/>
      <c r="L48" s="223"/>
      <c r="M48" s="223"/>
      <c r="N48" s="231"/>
      <c r="O48" s="231"/>
      <c r="P48" s="48"/>
      <c r="Q48" s="225"/>
      <c r="R48" s="225"/>
    </row>
    <row r="49" spans="1:18" ht="18" customHeight="1">
      <c r="A49" s="221"/>
      <c r="B49" s="221"/>
      <c r="C49" s="221"/>
      <c r="D49" s="221"/>
      <c r="E49" s="231"/>
      <c r="F49" s="231"/>
      <c r="G49" s="231"/>
      <c r="H49" s="231"/>
      <c r="I49" s="231"/>
      <c r="J49" s="223"/>
      <c r="K49" s="223"/>
      <c r="L49" s="223"/>
      <c r="M49" s="223"/>
      <c r="N49" s="231"/>
      <c r="O49" s="231"/>
      <c r="P49" s="48"/>
      <c r="Q49" s="225"/>
      <c r="R49" s="225"/>
    </row>
    <row r="50" spans="1:18" ht="18" customHeight="1">
      <c r="A50" s="221"/>
      <c r="B50" s="221"/>
      <c r="C50" s="221"/>
      <c r="D50" s="221"/>
      <c r="E50" s="231"/>
      <c r="F50" s="231"/>
      <c r="G50" s="231"/>
      <c r="H50" s="231"/>
      <c r="I50" s="231"/>
      <c r="J50" s="223"/>
      <c r="K50" s="223"/>
      <c r="L50" s="223"/>
      <c r="M50" s="223"/>
      <c r="N50" s="231"/>
      <c r="O50" s="231"/>
      <c r="P50" s="48"/>
      <c r="Q50" s="225"/>
      <c r="R50" s="225"/>
    </row>
    <row r="51" spans="1:18" ht="18" customHeight="1">
      <c r="A51" s="221"/>
      <c r="B51" s="221"/>
      <c r="C51" s="221"/>
      <c r="D51" s="221"/>
      <c r="E51" s="235"/>
      <c r="F51" s="235"/>
      <c r="G51" s="235"/>
      <c r="H51" s="235"/>
      <c r="I51" s="235"/>
      <c r="J51" s="223"/>
      <c r="K51" s="223"/>
      <c r="L51" s="223"/>
      <c r="M51" s="223"/>
      <c r="N51" s="235"/>
      <c r="O51" s="235"/>
      <c r="P51" s="48"/>
      <c r="Q51" s="225"/>
      <c r="R51" s="225"/>
    </row>
    <row r="52" spans="1:16" ht="18" customHeight="1">
      <c r="A52" s="221"/>
      <c r="B52" s="221"/>
      <c r="C52" s="221"/>
      <c r="D52" s="221"/>
      <c r="E52" s="222"/>
      <c r="F52" s="222"/>
      <c r="G52" s="222"/>
      <c r="H52" s="222"/>
      <c r="I52" s="222"/>
      <c r="J52" s="223"/>
      <c r="K52" s="223"/>
      <c r="L52" s="223"/>
      <c r="M52" s="223"/>
      <c r="N52" s="222"/>
      <c r="O52" s="222"/>
      <c r="P52" s="224"/>
    </row>
    <row r="53" spans="1:16" ht="18" customHeight="1">
      <c r="A53" s="221"/>
      <c r="B53" s="221"/>
      <c r="C53" s="221"/>
      <c r="D53" s="221"/>
      <c r="E53" s="222"/>
      <c r="F53" s="222"/>
      <c r="G53" s="222"/>
      <c r="H53" s="222"/>
      <c r="I53" s="222"/>
      <c r="J53" s="223"/>
      <c r="K53" s="223"/>
      <c r="L53" s="223"/>
      <c r="M53" s="223"/>
      <c r="N53" s="222"/>
      <c r="O53" s="222"/>
      <c r="P53" s="224"/>
    </row>
    <row r="54" spans="1:16" ht="18" customHeight="1">
      <c r="A54" s="221"/>
      <c r="B54" s="221"/>
      <c r="C54" s="221"/>
      <c r="D54" s="221"/>
      <c r="E54" s="222"/>
      <c r="F54" s="222"/>
      <c r="G54" s="222"/>
      <c r="H54" s="222"/>
      <c r="I54" s="222"/>
      <c r="J54" s="223"/>
      <c r="K54" s="223"/>
      <c r="L54" s="223"/>
      <c r="M54" s="223"/>
      <c r="N54" s="222"/>
      <c r="O54" s="222"/>
      <c r="P54" s="224"/>
    </row>
    <row r="55" spans="1:16" ht="18" customHeight="1">
      <c r="A55" s="221"/>
      <c r="B55" s="221"/>
      <c r="C55" s="221"/>
      <c r="D55" s="221"/>
      <c r="E55" s="222"/>
      <c r="F55" s="222"/>
      <c r="G55" s="222"/>
      <c r="H55" s="222"/>
      <c r="I55" s="222"/>
      <c r="J55" s="223"/>
      <c r="K55" s="223"/>
      <c r="L55" s="223"/>
      <c r="M55" s="223"/>
      <c r="N55" s="222"/>
      <c r="O55" s="222"/>
      <c r="P55" s="224"/>
    </row>
    <row r="56" spans="5:15" ht="12.75">
      <c r="E56" s="236"/>
      <c r="F56" s="236"/>
      <c r="G56" s="236"/>
      <c r="H56" s="236"/>
      <c r="I56" s="236"/>
      <c r="J56" s="237"/>
      <c r="K56" s="237"/>
      <c r="L56" s="237"/>
      <c r="M56" s="237"/>
      <c r="N56" s="236"/>
      <c r="O56" s="236"/>
    </row>
    <row r="57" spans="5:15" ht="12.75">
      <c r="E57" s="238"/>
      <c r="F57" s="238"/>
      <c r="G57" s="238"/>
      <c r="H57" s="238"/>
      <c r="I57" s="238"/>
      <c r="J57" s="239"/>
      <c r="K57" s="239"/>
      <c r="L57" s="238"/>
      <c r="M57" s="238"/>
      <c r="N57" s="238"/>
      <c r="O57" s="238"/>
    </row>
    <row r="58" spans="5:15" ht="12.75">
      <c r="E58" s="238"/>
      <c r="F58" s="238"/>
      <c r="G58" s="238"/>
      <c r="H58" s="238"/>
      <c r="I58" s="238"/>
      <c r="J58" s="239"/>
      <c r="K58" s="239"/>
      <c r="L58" s="238"/>
      <c r="M58" s="239"/>
      <c r="N58" s="238"/>
      <c r="O58" s="238"/>
    </row>
    <row r="59" spans="5:15" ht="12.75">
      <c r="E59" s="236"/>
      <c r="F59" s="236"/>
      <c r="G59" s="236"/>
      <c r="H59" s="236"/>
      <c r="I59" s="236"/>
      <c r="J59" s="236"/>
      <c r="K59" s="237"/>
      <c r="L59" s="236"/>
      <c r="M59" s="236"/>
      <c r="N59" s="236"/>
      <c r="O59" s="236"/>
    </row>
    <row r="60" spans="5:15" ht="28.5" customHeight="1">
      <c r="E60" s="222"/>
      <c r="F60" s="222"/>
      <c r="G60" s="222"/>
      <c r="H60" s="222"/>
      <c r="I60" s="222"/>
      <c r="J60" s="236"/>
      <c r="K60" s="237"/>
      <c r="L60" s="236"/>
      <c r="M60" s="237"/>
      <c r="N60" s="222"/>
      <c r="O60" s="222"/>
    </row>
    <row r="61" spans="5:15" ht="16.5">
      <c r="E61" s="222"/>
      <c r="F61" s="222"/>
      <c r="G61" s="222"/>
      <c r="H61" s="222"/>
      <c r="I61" s="222"/>
      <c r="J61" s="236"/>
      <c r="K61" s="236"/>
      <c r="L61" s="236"/>
      <c r="M61" s="236"/>
      <c r="N61" s="222"/>
      <c r="O61" s="222"/>
    </row>
    <row r="62" spans="5:15" ht="45.75" customHeight="1">
      <c r="E62" s="222"/>
      <c r="F62" s="222"/>
      <c r="G62" s="222"/>
      <c r="H62" s="222"/>
      <c r="I62" s="222"/>
      <c r="J62" s="236"/>
      <c r="K62" s="237"/>
      <c r="L62" s="236"/>
      <c r="M62" s="237"/>
      <c r="N62" s="222"/>
      <c r="O62" s="222"/>
    </row>
  </sheetData>
  <sheetProtection/>
  <mergeCells count="17">
    <mergeCell ref="O2:R11"/>
    <mergeCell ref="A6:M6"/>
    <mergeCell ref="E8:M8"/>
    <mergeCell ref="B10:M10"/>
    <mergeCell ref="J11:M11"/>
    <mergeCell ref="A12:D12"/>
    <mergeCell ref="H12:I12"/>
    <mergeCell ref="J12:K12"/>
    <mergeCell ref="L12:M12"/>
    <mergeCell ref="F46:G46"/>
    <mergeCell ref="H46:I46"/>
    <mergeCell ref="N46:O46"/>
    <mergeCell ref="N12:O12"/>
    <mergeCell ref="F12:G12"/>
    <mergeCell ref="F39:G39"/>
    <mergeCell ref="H39:I39"/>
    <mergeCell ref="N39:O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280"/>
  <sheetViews>
    <sheetView zoomScale="75" zoomScaleNormal="75" zoomScaleSheetLayoutView="70" zoomScalePageLayoutView="0" workbookViewId="0" topLeftCell="A1">
      <pane xSplit="5" ySplit="14" topLeftCell="H68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O279" sqref="O279"/>
    </sheetView>
  </sheetViews>
  <sheetFormatPr defaultColWidth="9.140625" defaultRowHeight="12.75"/>
  <cols>
    <col min="1" max="1" width="9.140625" style="1" customWidth="1"/>
    <col min="2" max="2" width="3.7109375" style="4" customWidth="1"/>
    <col min="3" max="3" width="4.28125" style="4" customWidth="1"/>
    <col min="4" max="4" width="7.00390625" style="4" customWidth="1"/>
    <col min="5" max="5" width="82.28125" style="1" customWidth="1"/>
    <col min="6" max="7" width="16.7109375" style="1" hidden="1" customWidth="1"/>
    <col min="8" max="8" width="16.7109375" style="1" customWidth="1"/>
    <col min="9" max="9" width="18.421875" style="1" customWidth="1"/>
    <col min="10" max="10" width="15.7109375" style="1" hidden="1" customWidth="1"/>
    <col min="11" max="11" width="14.140625" style="1" hidden="1" customWidth="1"/>
    <col min="12" max="13" width="16.7109375" style="1" customWidth="1"/>
    <col min="14" max="15" width="16.7109375" style="5" customWidth="1"/>
    <col min="16" max="16" width="12.7109375" style="1" hidden="1" customWidth="1"/>
    <col min="17" max="17" width="13.7109375" style="1" hidden="1" customWidth="1"/>
    <col min="18" max="18" width="12.7109375" style="1" hidden="1" customWidth="1"/>
    <col min="19" max="19" width="13.7109375" style="1" hidden="1" customWidth="1"/>
    <col min="20" max="20" width="12.7109375" style="1" hidden="1" customWidth="1"/>
    <col min="21" max="21" width="13.7109375" style="1" hidden="1" customWidth="1"/>
    <col min="22" max="22" width="12.7109375" style="1" hidden="1" customWidth="1"/>
    <col min="23" max="23" width="13.7109375" style="1" hidden="1" customWidth="1"/>
    <col min="24" max="24" width="12.7109375" style="1" hidden="1" customWidth="1"/>
    <col min="25" max="25" width="13.7109375" style="1" hidden="1" customWidth="1"/>
    <col min="26" max="26" width="12.7109375" style="1" hidden="1" customWidth="1"/>
    <col min="27" max="27" width="13.7109375" style="1" hidden="1" customWidth="1"/>
    <col min="28" max="28" width="12.7109375" style="1" hidden="1" customWidth="1"/>
    <col min="29" max="29" width="13.7109375" style="1" hidden="1" customWidth="1"/>
    <col min="30" max="30" width="12.7109375" style="1" hidden="1" customWidth="1"/>
    <col min="31" max="31" width="13.7109375" style="1" hidden="1" customWidth="1"/>
    <col min="32" max="32" width="12.7109375" style="1" hidden="1" customWidth="1"/>
    <col min="33" max="33" width="14.7109375" style="1" hidden="1" customWidth="1"/>
    <col min="34" max="34" width="12.7109375" style="1" hidden="1" customWidth="1"/>
    <col min="35" max="35" width="13.7109375" style="1" hidden="1" customWidth="1"/>
    <col min="36" max="36" width="12.7109375" style="1" hidden="1" customWidth="1"/>
    <col min="37" max="37" width="13.7109375" style="1" hidden="1" customWidth="1"/>
    <col min="38" max="38" width="12.7109375" style="1" hidden="1" customWidth="1"/>
    <col min="39" max="39" width="13.7109375" style="1" hidden="1" customWidth="1"/>
    <col min="40" max="40" width="12.7109375" style="1" hidden="1" customWidth="1"/>
    <col min="41" max="41" width="14.7109375" style="1" hidden="1" customWidth="1"/>
    <col min="42" max="16384" width="9.140625" style="1" customWidth="1"/>
  </cols>
  <sheetData>
    <row r="1" spans="4:15" ht="15" customHeight="1">
      <c r="D1" s="1"/>
      <c r="O1" s="1"/>
    </row>
    <row r="2" spans="2:15" ht="15" customHeight="1">
      <c r="B2" s="15"/>
      <c r="C2" s="15"/>
      <c r="D2" s="15"/>
      <c r="E2" s="15"/>
      <c r="F2" s="295"/>
      <c r="G2" s="296"/>
      <c r="H2" s="296"/>
      <c r="I2" s="296"/>
      <c r="J2" s="296"/>
      <c r="K2" s="296"/>
      <c r="L2" s="296"/>
      <c r="M2" s="296"/>
      <c r="N2" s="296"/>
      <c r="O2" s="296"/>
    </row>
    <row r="3" spans="2:15" ht="15" customHeight="1">
      <c r="B3" s="16"/>
      <c r="C3" s="16"/>
      <c r="D3" s="16"/>
      <c r="E3" s="16"/>
      <c r="F3" s="297"/>
      <c r="G3" s="297"/>
      <c r="H3" s="297"/>
      <c r="I3" s="297"/>
      <c r="J3" s="297"/>
      <c r="K3" s="297"/>
      <c r="L3" s="297"/>
      <c r="M3" s="297"/>
      <c r="N3" s="297"/>
      <c r="O3" s="297"/>
    </row>
    <row r="4" spans="2:15" ht="15" customHeight="1">
      <c r="B4" s="15"/>
      <c r="C4" s="15"/>
      <c r="D4" s="15"/>
      <c r="E4" s="15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spans="2:15" ht="15" customHeight="1">
      <c r="B5" s="6"/>
      <c r="C5" s="6"/>
      <c r="D5" s="6"/>
      <c r="E5" s="6"/>
      <c r="F5" s="297"/>
      <c r="G5" s="297"/>
      <c r="H5" s="297"/>
      <c r="I5" s="297"/>
      <c r="J5" s="297"/>
      <c r="K5" s="297"/>
      <c r="L5" s="297"/>
      <c r="M5" s="297"/>
      <c r="N5" s="297"/>
      <c r="O5" s="297"/>
    </row>
    <row r="6" spans="2:15" ht="15" customHeight="1">
      <c r="B6" s="16"/>
      <c r="C6" s="16"/>
      <c r="D6" s="16"/>
      <c r="E6" s="16"/>
      <c r="F6" s="297"/>
      <c r="G6" s="297"/>
      <c r="H6" s="297"/>
      <c r="I6" s="297"/>
      <c r="J6" s="297"/>
      <c r="K6" s="297"/>
      <c r="L6" s="297"/>
      <c r="M6" s="297"/>
      <c r="N6" s="297"/>
      <c r="O6" s="297"/>
    </row>
    <row r="7" spans="2:14" ht="15" customHeight="1"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7"/>
    </row>
    <row r="8" spans="1:15" ht="15" customHeight="1">
      <c r="A8" s="282" t="s">
        <v>286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2:14" ht="15" customHeight="1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7"/>
    </row>
    <row r="10" spans="2:14" ht="15" customHeight="1"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7"/>
    </row>
    <row r="11" spans="2:15" ht="15" customHeight="1">
      <c r="B11" s="300" t="s">
        <v>3</v>
      </c>
      <c r="C11" s="300"/>
      <c r="D11" s="300"/>
      <c r="E11" s="300"/>
      <c r="F11" s="300"/>
      <c r="G11" s="300"/>
      <c r="H11" s="300"/>
      <c r="I11" s="300"/>
      <c r="J11" s="300"/>
      <c r="K11" s="300"/>
      <c r="L11" s="300"/>
      <c r="M11" s="300"/>
      <c r="N11" s="300"/>
      <c r="O11" s="300"/>
    </row>
    <row r="12" spans="2:15" ht="15.75" customHeight="1">
      <c r="B12" s="128"/>
      <c r="C12" s="128"/>
      <c r="D12" s="128"/>
      <c r="E12" s="129"/>
      <c r="F12" s="301"/>
      <c r="G12" s="301"/>
      <c r="H12" s="301"/>
      <c r="I12" s="301"/>
      <c r="J12" s="301"/>
      <c r="K12" s="301"/>
      <c r="L12" s="301"/>
      <c r="M12" s="301"/>
      <c r="O12" s="162" t="s">
        <v>287</v>
      </c>
    </row>
    <row r="13" spans="1:41" ht="18" customHeight="1">
      <c r="A13" s="302" t="s">
        <v>0</v>
      </c>
      <c r="B13" s="302"/>
      <c r="C13" s="302"/>
      <c r="D13" s="302"/>
      <c r="E13" s="126" t="s">
        <v>1</v>
      </c>
      <c r="F13" s="292">
        <v>2016</v>
      </c>
      <c r="G13" s="293"/>
      <c r="H13" s="292">
        <v>2017</v>
      </c>
      <c r="I13" s="293"/>
      <c r="J13" s="292" t="s">
        <v>212</v>
      </c>
      <c r="K13" s="293"/>
      <c r="L13" s="292">
        <v>2018</v>
      </c>
      <c r="M13" s="293"/>
      <c r="N13" s="294">
        <v>2019</v>
      </c>
      <c r="O13" s="293"/>
      <c r="P13" s="298" t="s">
        <v>235</v>
      </c>
      <c r="Q13" s="299"/>
      <c r="R13" s="294" t="s">
        <v>236</v>
      </c>
      <c r="S13" s="293"/>
      <c r="T13" s="294" t="s">
        <v>237</v>
      </c>
      <c r="U13" s="293"/>
      <c r="V13" s="294" t="s">
        <v>238</v>
      </c>
      <c r="W13" s="293"/>
      <c r="X13" s="298" t="s">
        <v>239</v>
      </c>
      <c r="Y13" s="299"/>
      <c r="Z13" s="294" t="s">
        <v>240</v>
      </c>
      <c r="AA13" s="293"/>
      <c r="AB13" s="294" t="s">
        <v>241</v>
      </c>
      <c r="AC13" s="293"/>
      <c r="AD13" s="294" t="s">
        <v>242</v>
      </c>
      <c r="AE13" s="293"/>
      <c r="AF13" s="298" t="s">
        <v>73</v>
      </c>
      <c r="AG13" s="299"/>
      <c r="AH13" s="294" t="s">
        <v>243</v>
      </c>
      <c r="AI13" s="293"/>
      <c r="AJ13" s="294" t="s">
        <v>244</v>
      </c>
      <c r="AK13" s="293"/>
      <c r="AL13" s="294" t="s">
        <v>245</v>
      </c>
      <c r="AM13" s="293"/>
      <c r="AN13" s="298" t="s">
        <v>74</v>
      </c>
      <c r="AO13" s="299"/>
    </row>
    <row r="14" spans="1:41" s="3" customFormat="1" ht="18" customHeight="1">
      <c r="A14" s="127" t="s">
        <v>73</v>
      </c>
      <c r="B14" s="51" t="s">
        <v>74</v>
      </c>
      <c r="C14" s="52"/>
      <c r="D14" s="53" t="s">
        <v>75</v>
      </c>
      <c r="E14" s="54"/>
      <c r="F14" s="100" t="s">
        <v>104</v>
      </c>
      <c r="G14" s="100" t="s">
        <v>26</v>
      </c>
      <c r="H14" s="100" t="s">
        <v>104</v>
      </c>
      <c r="I14" s="100" t="s">
        <v>26</v>
      </c>
      <c r="J14" s="99" t="s">
        <v>213</v>
      </c>
      <c r="K14" s="99" t="s">
        <v>214</v>
      </c>
      <c r="L14" s="100" t="s">
        <v>104</v>
      </c>
      <c r="M14" s="100" t="s">
        <v>26</v>
      </c>
      <c r="N14" s="100" t="s">
        <v>104</v>
      </c>
      <c r="O14" s="100" t="s">
        <v>26</v>
      </c>
      <c r="P14" s="133" t="s">
        <v>104</v>
      </c>
      <c r="Q14" s="133" t="s">
        <v>26</v>
      </c>
      <c r="R14" s="100" t="s">
        <v>104</v>
      </c>
      <c r="S14" s="100" t="s">
        <v>26</v>
      </c>
      <c r="T14" s="100" t="s">
        <v>104</v>
      </c>
      <c r="U14" s="100" t="s">
        <v>26</v>
      </c>
      <c r="V14" s="100" t="s">
        <v>104</v>
      </c>
      <c r="W14" s="100" t="s">
        <v>26</v>
      </c>
      <c r="X14" s="133" t="s">
        <v>104</v>
      </c>
      <c r="Y14" s="133" t="s">
        <v>26</v>
      </c>
      <c r="Z14" s="100" t="s">
        <v>104</v>
      </c>
      <c r="AA14" s="100" t="s">
        <v>26</v>
      </c>
      <c r="AB14" s="100" t="s">
        <v>104</v>
      </c>
      <c r="AC14" s="100" t="s">
        <v>26</v>
      </c>
      <c r="AD14" s="100" t="s">
        <v>104</v>
      </c>
      <c r="AE14" s="100" t="s">
        <v>26</v>
      </c>
      <c r="AF14" s="133" t="s">
        <v>104</v>
      </c>
      <c r="AG14" s="133" t="s">
        <v>26</v>
      </c>
      <c r="AH14" s="100" t="s">
        <v>104</v>
      </c>
      <c r="AI14" s="100" t="s">
        <v>26</v>
      </c>
      <c r="AJ14" s="100" t="s">
        <v>104</v>
      </c>
      <c r="AK14" s="100" t="s">
        <v>26</v>
      </c>
      <c r="AL14" s="100" t="s">
        <v>104</v>
      </c>
      <c r="AM14" s="100" t="s">
        <v>26</v>
      </c>
      <c r="AN14" s="133" t="s">
        <v>104</v>
      </c>
      <c r="AO14" s="133" t="s">
        <v>26</v>
      </c>
    </row>
    <row r="15" spans="1:41" s="3" customFormat="1" ht="18" customHeight="1">
      <c r="A15" s="55"/>
      <c r="B15" s="2"/>
      <c r="C15" s="2"/>
      <c r="D15" s="2"/>
      <c r="E15" s="119" t="s">
        <v>91</v>
      </c>
      <c r="F15" s="93">
        <f aca="true" t="shared" si="0" ref="F15:O15">F16</f>
        <v>0</v>
      </c>
      <c r="G15" s="93">
        <f t="shared" si="0"/>
        <v>0</v>
      </c>
      <c r="H15" s="93" t="e">
        <f>H16</f>
        <v>#REF!</v>
      </c>
      <c r="I15" s="93" t="e">
        <f>I16</f>
        <v>#REF!</v>
      </c>
      <c r="J15" s="10" t="e">
        <f aca="true" t="shared" si="1" ref="J15:K21">H15-F15</f>
        <v>#REF!</v>
      </c>
      <c r="K15" s="10" t="e">
        <f t="shared" si="1"/>
        <v>#REF!</v>
      </c>
      <c r="L15" s="93">
        <f t="shared" si="0"/>
        <v>0</v>
      </c>
      <c r="M15" s="93" t="e">
        <f t="shared" si="0"/>
        <v>#REF!</v>
      </c>
      <c r="N15" s="131">
        <f t="shared" si="0"/>
        <v>0</v>
      </c>
      <c r="O15" s="93" t="e">
        <f t="shared" si="0"/>
        <v>#REF!</v>
      </c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</row>
    <row r="16" spans="1:41" s="3" customFormat="1" ht="18" customHeight="1">
      <c r="A16" s="55"/>
      <c r="B16" s="2"/>
      <c r="C16" s="2"/>
      <c r="D16" s="2"/>
      <c r="E16" s="120" t="s">
        <v>3</v>
      </c>
      <c r="F16" s="94">
        <f>SUM(F17:F19)</f>
        <v>0</v>
      </c>
      <c r="G16" s="94">
        <f>SUM(G17:G19)</f>
        <v>0</v>
      </c>
      <c r="H16" s="94" t="e">
        <f>SUM(H17:H19)</f>
        <v>#REF!</v>
      </c>
      <c r="I16" s="94" t="e">
        <f>SUM(I17:I19)</f>
        <v>#REF!</v>
      </c>
      <c r="J16" s="10" t="e">
        <f t="shared" si="1"/>
        <v>#REF!</v>
      </c>
      <c r="K16" s="10" t="e">
        <f t="shared" si="1"/>
        <v>#REF!</v>
      </c>
      <c r="L16" s="94">
        <f>SUM(L17:L19)</f>
        <v>0</v>
      </c>
      <c r="M16" s="94" t="e">
        <f>SUM(M17:M19)</f>
        <v>#REF!</v>
      </c>
      <c r="N16" s="94">
        <f>SUM(N17:N19)</f>
        <v>0</v>
      </c>
      <c r="O16" s="94" t="e">
        <f>SUM(O17:O19)</f>
        <v>#REF!</v>
      </c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</row>
    <row r="17" spans="1:41" s="3" customFormat="1" ht="18" customHeight="1">
      <c r="A17" s="1">
        <v>3111</v>
      </c>
      <c r="B17" s="2">
        <v>22</v>
      </c>
      <c r="C17" s="2">
        <v>910</v>
      </c>
      <c r="D17" s="8">
        <v>70169</v>
      </c>
      <c r="E17" s="9" t="s">
        <v>88</v>
      </c>
      <c r="F17" s="10"/>
      <c r="G17" s="10"/>
      <c r="H17" s="10" t="e">
        <f>'USD 19-21'!#REF!</f>
        <v>#REF!</v>
      </c>
      <c r="I17" s="10"/>
      <c r="J17" s="10" t="e">
        <f t="shared" si="1"/>
        <v>#REF!</v>
      </c>
      <c r="K17" s="10">
        <f t="shared" si="1"/>
        <v>0</v>
      </c>
      <c r="L17" s="10"/>
      <c r="M17" s="11"/>
      <c r="N17" s="130"/>
      <c r="O17" s="10"/>
      <c r="P17" s="132"/>
      <c r="Q17" s="10"/>
      <c r="R17" s="10"/>
      <c r="S17" s="10"/>
      <c r="T17" s="10"/>
      <c r="U17" s="10"/>
      <c r="V17" s="10"/>
      <c r="W17" s="10"/>
      <c r="X17" s="132"/>
      <c r="Y17" s="10"/>
      <c r="Z17" s="10"/>
      <c r="AA17" s="10"/>
      <c r="AB17" s="10"/>
      <c r="AC17" s="10"/>
      <c r="AD17" s="10"/>
      <c r="AE17" s="10"/>
      <c r="AF17" s="132"/>
      <c r="AG17" s="10"/>
      <c r="AH17" s="10"/>
      <c r="AI17" s="10"/>
      <c r="AJ17" s="10"/>
      <c r="AK17" s="10"/>
      <c r="AL17" s="10"/>
      <c r="AM17" s="10"/>
      <c r="AN17" s="132"/>
      <c r="AO17" s="10"/>
    </row>
    <row r="18" spans="1:41" s="3" customFormat="1" ht="18" customHeight="1">
      <c r="A18" s="1">
        <v>3111</v>
      </c>
      <c r="B18" s="2">
        <v>22</v>
      </c>
      <c r="C18" s="2">
        <v>920</v>
      </c>
      <c r="D18" s="8">
        <v>70169</v>
      </c>
      <c r="E18" s="9" t="s">
        <v>89</v>
      </c>
      <c r="F18" s="10"/>
      <c r="G18" s="10"/>
      <c r="H18" s="10"/>
      <c r="I18" s="10" t="e">
        <f>'USD 19-21'!#REF!*69.2</f>
        <v>#REF!</v>
      </c>
      <c r="J18" s="10">
        <f t="shared" si="1"/>
        <v>0</v>
      </c>
      <c r="K18" s="10" t="e">
        <f t="shared" si="1"/>
        <v>#REF!</v>
      </c>
      <c r="L18" s="10"/>
      <c r="M18" s="10" t="e">
        <f>'USD 19-21'!#REF!*72.4</f>
        <v>#REF!</v>
      </c>
      <c r="N18" s="130"/>
      <c r="O18" s="10" t="e">
        <f>'USD 19-21'!#REF!*69.2</f>
        <v>#REF!</v>
      </c>
      <c r="P18" s="132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</row>
    <row r="19" spans="1:41" s="3" customFormat="1" ht="18" customHeight="1">
      <c r="A19" s="1">
        <v>3111</v>
      </c>
      <c r="B19" s="2">
        <v>22</v>
      </c>
      <c r="C19" s="2">
        <v>930</v>
      </c>
      <c r="D19" s="8">
        <v>70169</v>
      </c>
      <c r="E19" s="168" t="s">
        <v>90</v>
      </c>
      <c r="F19" s="10"/>
      <c r="G19" s="10"/>
      <c r="H19" s="10"/>
      <c r="I19" s="10" t="e">
        <f>'USD 19-21'!#REF!*69.2</f>
        <v>#REF!</v>
      </c>
      <c r="J19" s="10">
        <f t="shared" si="1"/>
        <v>0</v>
      </c>
      <c r="K19" s="10" t="e">
        <f t="shared" si="1"/>
        <v>#REF!</v>
      </c>
      <c r="L19" s="10"/>
      <c r="M19" s="10" t="e">
        <f>'USD 19-21'!#REF!*72.4</f>
        <v>#REF!</v>
      </c>
      <c r="N19" s="130"/>
      <c r="O19" s="10" t="e">
        <f>'USD 19-21'!#REF!*69.2</f>
        <v>#REF!</v>
      </c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3" customFormat="1" ht="18" customHeight="1">
      <c r="A20" s="55"/>
      <c r="B20" s="51"/>
      <c r="C20" s="52"/>
      <c r="D20" s="53"/>
      <c r="E20" s="54"/>
      <c r="F20" s="56"/>
      <c r="G20" s="56"/>
      <c r="H20" s="56"/>
      <c r="I20" s="56"/>
      <c r="J20" s="10">
        <f t="shared" si="1"/>
        <v>0</v>
      </c>
      <c r="K20" s="10">
        <f t="shared" si="1"/>
        <v>0</v>
      </c>
      <c r="L20" s="57"/>
      <c r="M20" s="56"/>
      <c r="N20" s="134"/>
      <c r="O20" s="161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</row>
    <row r="21" spans="2:41" ht="18" customHeight="1">
      <c r="B21" s="2"/>
      <c r="C21" s="2"/>
      <c r="D21" s="2"/>
      <c r="E21" s="119" t="s">
        <v>2</v>
      </c>
      <c r="F21" s="93">
        <f aca="true" t="shared" si="2" ref="F21:O21">F22</f>
        <v>2513.1</v>
      </c>
      <c r="G21" s="93">
        <f t="shared" si="2"/>
        <v>9243</v>
      </c>
      <c r="H21" s="138" t="e">
        <f t="shared" si="2"/>
        <v>#REF!</v>
      </c>
      <c r="I21" s="138" t="e">
        <f>I22</f>
        <v>#REF!</v>
      </c>
      <c r="J21" s="136" t="e">
        <f t="shared" si="1"/>
        <v>#REF!</v>
      </c>
      <c r="K21" s="136" t="e">
        <f t="shared" si="1"/>
        <v>#REF!</v>
      </c>
      <c r="L21" s="138" t="e">
        <f t="shared" si="2"/>
        <v>#REF!</v>
      </c>
      <c r="M21" s="138" t="e">
        <f t="shared" si="2"/>
        <v>#REF!</v>
      </c>
      <c r="N21" s="143" t="e">
        <f t="shared" si="2"/>
        <v>#REF!</v>
      </c>
      <c r="O21" s="138" t="e">
        <f t="shared" si="2"/>
        <v>#REF!</v>
      </c>
      <c r="P21" s="138">
        <f>P22</f>
        <v>385.8</v>
      </c>
      <c r="Q21" s="138">
        <f>Q22</f>
        <v>1300</v>
      </c>
      <c r="R21" s="138"/>
      <c r="S21" s="138"/>
      <c r="T21" s="138"/>
      <c r="U21" s="138"/>
      <c r="V21" s="138"/>
      <c r="W21" s="138"/>
      <c r="X21" s="138">
        <f>X22</f>
        <v>385.8</v>
      </c>
      <c r="Y21" s="138">
        <f>Y22</f>
        <v>1828</v>
      </c>
      <c r="Z21" s="138"/>
      <c r="AA21" s="138"/>
      <c r="AB21" s="138"/>
      <c r="AC21" s="138"/>
      <c r="AD21" s="138"/>
      <c r="AE21" s="138"/>
      <c r="AF21" s="138">
        <f>AF22</f>
        <v>385.8</v>
      </c>
      <c r="AG21" s="138">
        <f>AG22</f>
        <v>1375</v>
      </c>
      <c r="AH21" s="138"/>
      <c r="AI21" s="138"/>
      <c r="AJ21" s="138"/>
      <c r="AK21" s="138"/>
      <c r="AL21" s="138"/>
      <c r="AM21" s="138"/>
      <c r="AN21" s="138">
        <f>AN22</f>
        <v>385.8</v>
      </c>
      <c r="AO21" s="138">
        <f>AO22</f>
        <v>7217</v>
      </c>
    </row>
    <row r="22" spans="2:41" ht="18" customHeight="1">
      <c r="B22" s="2"/>
      <c r="C22" s="2"/>
      <c r="D22" s="2"/>
      <c r="E22" s="120" t="s">
        <v>3</v>
      </c>
      <c r="F22" s="94">
        <f>SUM(F23:F29)</f>
        <v>2513.1</v>
      </c>
      <c r="G22" s="94">
        <f>SUM(G23:G29)</f>
        <v>9243</v>
      </c>
      <c r="H22" s="135" t="e">
        <f>SUM(H23:H29)</f>
        <v>#REF!</v>
      </c>
      <c r="I22" s="135" t="e">
        <f aca="true" t="shared" si="3" ref="I22:O22">SUM(I23:I29)</f>
        <v>#REF!</v>
      </c>
      <c r="J22" s="135">
        <f t="shared" si="3"/>
        <v>0</v>
      </c>
      <c r="K22" s="135">
        <f t="shared" si="3"/>
        <v>0</v>
      </c>
      <c r="L22" s="135" t="e">
        <f t="shared" si="3"/>
        <v>#REF!</v>
      </c>
      <c r="M22" s="135" t="e">
        <f t="shared" si="3"/>
        <v>#REF!</v>
      </c>
      <c r="N22" s="135" t="e">
        <f t="shared" si="3"/>
        <v>#REF!</v>
      </c>
      <c r="O22" s="135" t="e">
        <f t="shared" si="3"/>
        <v>#REF!</v>
      </c>
      <c r="P22" s="135">
        <f>SUM(P23:P29)</f>
        <v>385.8</v>
      </c>
      <c r="Q22" s="135">
        <f>SUM(Q23:Q29)</f>
        <v>1300</v>
      </c>
      <c r="R22" s="136"/>
      <c r="S22" s="136"/>
      <c r="T22" s="136"/>
      <c r="U22" s="136"/>
      <c r="V22" s="136"/>
      <c r="W22" s="136"/>
      <c r="X22" s="135">
        <f>SUM(X23:X29)</f>
        <v>385.8</v>
      </c>
      <c r="Y22" s="135">
        <f>SUM(Y23:Y29)</f>
        <v>1828</v>
      </c>
      <c r="Z22" s="136"/>
      <c r="AA22" s="136"/>
      <c r="AB22" s="136"/>
      <c r="AC22" s="136"/>
      <c r="AD22" s="136"/>
      <c r="AE22" s="136"/>
      <c r="AF22" s="135">
        <f>SUM(AF23:AF29)</f>
        <v>385.8</v>
      </c>
      <c r="AG22" s="135">
        <f>SUM(AG23:AG29)</f>
        <v>1375</v>
      </c>
      <c r="AH22" s="136"/>
      <c r="AI22" s="136"/>
      <c r="AJ22" s="136"/>
      <c r="AK22" s="136"/>
      <c r="AL22" s="136"/>
      <c r="AM22" s="136"/>
      <c r="AN22" s="135">
        <f>SUM(AN23:AN29)</f>
        <v>385.8</v>
      </c>
      <c r="AO22" s="135">
        <f>SUM(AO23:AO29)</f>
        <v>7217</v>
      </c>
    </row>
    <row r="23" spans="2:41" ht="16.5">
      <c r="B23" s="2"/>
      <c r="C23" s="2"/>
      <c r="D23" s="8"/>
      <c r="E23" s="9"/>
      <c r="F23" s="10"/>
      <c r="G23" s="10">
        <v>378</v>
      </c>
      <c r="H23" s="136"/>
      <c r="I23" s="136"/>
      <c r="J23" s="136"/>
      <c r="K23" s="136"/>
      <c r="L23" s="136"/>
      <c r="M23" s="136"/>
      <c r="N23" s="140"/>
      <c r="O23" s="139"/>
      <c r="P23" s="136"/>
      <c r="Q23" s="136">
        <v>200</v>
      </c>
      <c r="R23" s="136"/>
      <c r="S23" s="136"/>
      <c r="T23" s="136"/>
      <c r="U23" s="136"/>
      <c r="V23" s="136"/>
      <c r="W23" s="136"/>
      <c r="X23" s="136"/>
      <c r="Y23" s="136">
        <v>178</v>
      </c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</row>
    <row r="24" spans="1:41" ht="16.5">
      <c r="A24" s="1">
        <v>3111</v>
      </c>
      <c r="B24" s="2">
        <v>25</v>
      </c>
      <c r="C24" s="2">
        <v>910</v>
      </c>
      <c r="D24" s="8">
        <v>70499</v>
      </c>
      <c r="E24" s="9" t="s">
        <v>4</v>
      </c>
      <c r="F24" s="10">
        <v>2513.1</v>
      </c>
      <c r="G24" s="10"/>
      <c r="H24" s="136">
        <f>'USD 19-21'!I19</f>
        <v>0</v>
      </c>
      <c r="I24" s="136"/>
      <c r="J24" s="136"/>
      <c r="K24" s="136"/>
      <c r="L24" s="136">
        <f>'USD 19-21'!K19</f>
        <v>0</v>
      </c>
      <c r="M24" s="136"/>
      <c r="N24" s="136">
        <f>'USD 19-21'!M19</f>
        <v>0</v>
      </c>
      <c r="O24" s="139"/>
      <c r="P24" s="136">
        <v>385.8</v>
      </c>
      <c r="Q24" s="136"/>
      <c r="R24" s="136"/>
      <c r="S24" s="136"/>
      <c r="T24" s="136"/>
      <c r="U24" s="136"/>
      <c r="V24" s="136"/>
      <c r="W24" s="136"/>
      <c r="X24" s="136">
        <v>385.8</v>
      </c>
      <c r="Y24" s="136"/>
      <c r="Z24" s="136"/>
      <c r="AA24" s="136"/>
      <c r="AB24" s="136"/>
      <c r="AC24" s="136"/>
      <c r="AD24" s="136"/>
      <c r="AE24" s="136"/>
      <c r="AF24" s="136">
        <v>385.8</v>
      </c>
      <c r="AG24" s="136"/>
      <c r="AH24" s="136"/>
      <c r="AI24" s="136"/>
      <c r="AJ24" s="136"/>
      <c r="AK24" s="136"/>
      <c r="AL24" s="136"/>
      <c r="AM24" s="136"/>
      <c r="AN24" s="136">
        <v>385.8</v>
      </c>
      <c r="AO24" s="136"/>
    </row>
    <row r="25" spans="1:41" ht="16.5">
      <c r="A25" s="1">
        <v>3111</v>
      </c>
      <c r="B25" s="2">
        <v>25</v>
      </c>
      <c r="C25" s="2">
        <v>920</v>
      </c>
      <c r="D25" s="8">
        <v>70499</v>
      </c>
      <c r="E25" s="9" t="s">
        <v>5</v>
      </c>
      <c r="F25" s="10"/>
      <c r="G25" s="10">
        <v>2583</v>
      </c>
      <c r="H25" s="136"/>
      <c r="I25" s="136">
        <f>'USD 19-21'!J20*69.2</f>
        <v>0</v>
      </c>
      <c r="J25" s="136"/>
      <c r="K25" s="136"/>
      <c r="L25" s="136"/>
      <c r="M25" s="136">
        <f>'USD 19-21'!L20*72.4</f>
        <v>713864</v>
      </c>
      <c r="N25" s="140"/>
      <c r="O25" s="136">
        <f>'USD 19-21'!N20*69.2</f>
        <v>602040</v>
      </c>
      <c r="P25" s="138"/>
      <c r="Q25" s="136">
        <v>400</v>
      </c>
      <c r="R25" s="136"/>
      <c r="S25" s="136"/>
      <c r="T25" s="136"/>
      <c r="U25" s="136"/>
      <c r="V25" s="136"/>
      <c r="W25" s="136"/>
      <c r="X25" s="136"/>
      <c r="Y25" s="136">
        <v>600</v>
      </c>
      <c r="Z25" s="136"/>
      <c r="AA25" s="136"/>
      <c r="AB25" s="136"/>
      <c r="AC25" s="136"/>
      <c r="AD25" s="136"/>
      <c r="AE25" s="136"/>
      <c r="AF25" s="136"/>
      <c r="AG25" s="136">
        <v>500</v>
      </c>
      <c r="AH25" s="136"/>
      <c r="AI25" s="136"/>
      <c r="AJ25" s="136"/>
      <c r="AK25" s="136"/>
      <c r="AL25" s="136"/>
      <c r="AM25" s="136"/>
      <c r="AN25" s="136"/>
      <c r="AO25" s="136">
        <v>500</v>
      </c>
    </row>
    <row r="26" spans="1:41" ht="16.5">
      <c r="A26" s="1">
        <v>3111</v>
      </c>
      <c r="B26" s="2">
        <v>25</v>
      </c>
      <c r="C26" s="2">
        <v>930</v>
      </c>
      <c r="D26" s="8">
        <v>70499</v>
      </c>
      <c r="E26" s="168" t="s">
        <v>6</v>
      </c>
      <c r="F26" s="10"/>
      <c r="G26" s="10">
        <v>6282</v>
      </c>
      <c r="H26" s="136"/>
      <c r="I26" s="136">
        <f>'USD 19-21'!J21*69.2</f>
        <v>9342</v>
      </c>
      <c r="J26" s="136"/>
      <c r="K26" s="136"/>
      <c r="L26" s="136"/>
      <c r="M26" s="136">
        <f>'USD 19-21'!L21*72.4</f>
        <v>12597.6</v>
      </c>
      <c r="N26" s="140"/>
      <c r="O26" s="136">
        <f>'USD 19-21'!N21*69.2</f>
        <v>0</v>
      </c>
      <c r="P26" s="135"/>
      <c r="Q26" s="136">
        <v>700</v>
      </c>
      <c r="R26" s="136"/>
      <c r="S26" s="136"/>
      <c r="T26" s="136"/>
      <c r="U26" s="136"/>
      <c r="V26" s="136"/>
      <c r="W26" s="136"/>
      <c r="X26" s="136"/>
      <c r="Y26" s="136">
        <v>1050</v>
      </c>
      <c r="Z26" s="136"/>
      <c r="AA26" s="136"/>
      <c r="AB26" s="136"/>
      <c r="AC26" s="136"/>
      <c r="AD26" s="136"/>
      <c r="AE26" s="136"/>
      <c r="AF26" s="136"/>
      <c r="AG26" s="136">
        <v>875</v>
      </c>
      <c r="AH26" s="136"/>
      <c r="AI26" s="136"/>
      <c r="AJ26" s="136"/>
      <c r="AK26" s="136"/>
      <c r="AL26" s="136"/>
      <c r="AM26" s="136"/>
      <c r="AN26" s="136"/>
      <c r="AO26" s="136">
        <f>I26-Q26-Y26-AG26</f>
        <v>6717</v>
      </c>
    </row>
    <row r="27" spans="1:41" ht="16.5">
      <c r="A27" s="1">
        <v>3111</v>
      </c>
      <c r="B27" s="2">
        <v>25</v>
      </c>
      <c r="C27" s="2">
        <v>910</v>
      </c>
      <c r="D27" s="8">
        <v>70499</v>
      </c>
      <c r="E27" s="9" t="s">
        <v>33</v>
      </c>
      <c r="F27" s="10"/>
      <c r="G27" s="10"/>
      <c r="H27" s="136" t="e">
        <f>'USD 19-21'!#REF!</f>
        <v>#REF!</v>
      </c>
      <c r="I27" s="136"/>
      <c r="J27" s="136"/>
      <c r="K27" s="136"/>
      <c r="L27" s="136" t="e">
        <f>'USD 19-21'!#REF!</f>
        <v>#REF!</v>
      </c>
      <c r="M27" s="139"/>
      <c r="N27" s="136" t="e">
        <f>'USD 19-21'!#REF!</f>
        <v>#REF!</v>
      </c>
      <c r="O27" s="139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</row>
    <row r="28" spans="1:41" ht="16.5">
      <c r="A28" s="1">
        <v>3111</v>
      </c>
      <c r="B28" s="2">
        <v>25</v>
      </c>
      <c r="C28" s="2">
        <v>920</v>
      </c>
      <c r="D28" s="8">
        <v>70499</v>
      </c>
      <c r="E28" s="9" t="s">
        <v>34</v>
      </c>
      <c r="F28" s="10"/>
      <c r="G28" s="10"/>
      <c r="H28" s="136"/>
      <c r="I28" s="136" t="e">
        <f>'USD 19-21'!#REF!*69.2</f>
        <v>#REF!</v>
      </c>
      <c r="J28" s="136"/>
      <c r="K28" s="136"/>
      <c r="L28" s="136"/>
      <c r="M28" s="136" t="e">
        <f>'USD 19-21'!#REF!*72.4</f>
        <v>#REF!</v>
      </c>
      <c r="N28" s="140"/>
      <c r="O28" s="136" t="e">
        <f>'USD 19-21'!#REF!*69.2</f>
        <v>#REF!</v>
      </c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</row>
    <row r="29" spans="1:41" ht="16.5">
      <c r="A29" s="1">
        <v>3111</v>
      </c>
      <c r="B29" s="2">
        <v>25</v>
      </c>
      <c r="C29" s="2">
        <v>930</v>
      </c>
      <c r="D29" s="8">
        <v>70499</v>
      </c>
      <c r="E29" s="168" t="s">
        <v>35</v>
      </c>
      <c r="F29" s="10"/>
      <c r="G29" s="10"/>
      <c r="H29" s="136"/>
      <c r="I29" s="136" t="e">
        <f>'USD 19-21'!#REF!*69.2</f>
        <v>#REF!</v>
      </c>
      <c r="J29" s="136"/>
      <c r="K29" s="136"/>
      <c r="L29" s="136"/>
      <c r="M29" s="136" t="e">
        <f>'USD 19-21'!#REF!*72.4</f>
        <v>#REF!</v>
      </c>
      <c r="N29" s="140"/>
      <c r="O29" s="136" t="e">
        <f>'USD 19-21'!#REF!*69.2</f>
        <v>#REF!</v>
      </c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  <c r="AB29" s="136"/>
      <c r="AC29" s="136"/>
      <c r="AD29" s="136"/>
      <c r="AE29" s="136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</row>
    <row r="30" spans="2:41" ht="18" customHeight="1">
      <c r="B30" s="2"/>
      <c r="C30" s="2"/>
      <c r="D30" s="12"/>
      <c r="E30" s="9"/>
      <c r="F30" s="10"/>
      <c r="G30" s="10"/>
      <c r="H30" s="136"/>
      <c r="I30" s="136"/>
      <c r="J30" s="136">
        <f>H30-F30</f>
        <v>0</v>
      </c>
      <c r="K30" s="136">
        <f>I30-G30</f>
        <v>0</v>
      </c>
      <c r="L30" s="136"/>
      <c r="M30" s="136"/>
      <c r="N30" s="140"/>
      <c r="O30" s="139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</row>
    <row r="31" spans="2:41" ht="18" customHeight="1">
      <c r="B31" s="2"/>
      <c r="C31" s="2"/>
      <c r="D31" s="2"/>
      <c r="E31" s="119" t="s">
        <v>41</v>
      </c>
      <c r="F31" s="93">
        <f>F32</f>
        <v>540.0608024691358</v>
      </c>
      <c r="G31" s="93">
        <f aca="true" t="shared" si="4" ref="G31:O31">G32</f>
        <v>198506.59999999998</v>
      </c>
      <c r="H31" s="138">
        <f t="shared" si="4"/>
        <v>0</v>
      </c>
      <c r="I31" s="138" t="e">
        <f t="shared" si="4"/>
        <v>#REF!</v>
      </c>
      <c r="J31" s="136">
        <f>H31-F31</f>
        <v>-540.0608024691358</v>
      </c>
      <c r="K31" s="136" t="e">
        <f>I31-G31</f>
        <v>#REF!</v>
      </c>
      <c r="L31" s="138">
        <f t="shared" si="4"/>
        <v>0</v>
      </c>
      <c r="M31" s="138" t="e">
        <f t="shared" si="4"/>
        <v>#REF!</v>
      </c>
      <c r="N31" s="143">
        <f t="shared" si="4"/>
        <v>0</v>
      </c>
      <c r="O31" s="138" t="e">
        <f t="shared" si="4"/>
        <v>#REF!</v>
      </c>
      <c r="P31" s="136">
        <f>P32</f>
        <v>27.43</v>
      </c>
      <c r="Q31" s="138">
        <f>Q32</f>
        <v>10514.7</v>
      </c>
      <c r="R31" s="138"/>
      <c r="S31" s="138"/>
      <c r="T31" s="138"/>
      <c r="U31" s="138"/>
      <c r="V31" s="138"/>
      <c r="W31" s="138"/>
      <c r="X31" s="138">
        <f>X32</f>
        <v>44.5</v>
      </c>
      <c r="Y31" s="138">
        <f>Y32</f>
        <v>24483.1</v>
      </c>
      <c r="Z31" s="138"/>
      <c r="AA31" s="138"/>
      <c r="AB31" s="138"/>
      <c r="AC31" s="138"/>
      <c r="AD31" s="138"/>
      <c r="AE31" s="138"/>
      <c r="AF31" s="138">
        <f>AF32</f>
        <v>113.8</v>
      </c>
      <c r="AG31" s="138">
        <f>AG32</f>
        <v>1587353.98</v>
      </c>
      <c r="AH31" s="138"/>
      <c r="AI31" s="138"/>
      <c r="AJ31" s="138"/>
      <c r="AK31" s="138"/>
      <c r="AL31" s="138"/>
      <c r="AM31" s="138"/>
      <c r="AN31" s="138">
        <f>AN32</f>
        <v>107.03</v>
      </c>
      <c r="AO31" s="138" t="e">
        <f>AO32</f>
        <v>#REF!</v>
      </c>
    </row>
    <row r="32" spans="2:41" ht="18" customHeight="1">
      <c r="B32" s="2"/>
      <c r="C32" s="2"/>
      <c r="D32" s="2"/>
      <c r="E32" s="120" t="s">
        <v>3</v>
      </c>
      <c r="F32" s="94">
        <f>SUM(F33:F59)</f>
        <v>540.0608024691358</v>
      </c>
      <c r="G32" s="94">
        <f>SUM(G33:G59)</f>
        <v>198506.59999999998</v>
      </c>
      <c r="H32" s="135"/>
      <c r="I32" s="135" t="e">
        <f>SUM(I33:I61)</f>
        <v>#REF!</v>
      </c>
      <c r="J32" s="136"/>
      <c r="K32" s="136"/>
      <c r="L32" s="135"/>
      <c r="M32" s="135" t="e">
        <f>SUM(M33:M61)</f>
        <v>#REF!</v>
      </c>
      <c r="N32" s="144"/>
      <c r="O32" s="135" t="e">
        <f>SUM(O33:O61)</f>
        <v>#REF!</v>
      </c>
      <c r="P32" s="135">
        <f>SUM(P33:P59)</f>
        <v>27.43</v>
      </c>
      <c r="Q32" s="135">
        <f>SUM(Q33:Q59)</f>
        <v>10514.7</v>
      </c>
      <c r="R32" s="141"/>
      <c r="S32" s="141"/>
      <c r="T32" s="141"/>
      <c r="U32" s="141"/>
      <c r="V32" s="141"/>
      <c r="W32" s="141"/>
      <c r="X32" s="135">
        <f>SUM(X33:X59)</f>
        <v>44.5</v>
      </c>
      <c r="Y32" s="135">
        <f>SUM(Y33:Y59)</f>
        <v>24483.1</v>
      </c>
      <c r="Z32" s="141"/>
      <c r="AA32" s="141"/>
      <c r="AB32" s="141"/>
      <c r="AC32" s="141"/>
      <c r="AD32" s="141"/>
      <c r="AE32" s="141"/>
      <c r="AF32" s="135">
        <f>SUM(AF33:AF59)</f>
        <v>113.8</v>
      </c>
      <c r="AG32" s="135">
        <f>SUM(AG33:AG59)</f>
        <v>1587353.98</v>
      </c>
      <c r="AH32" s="141"/>
      <c r="AI32" s="141"/>
      <c r="AJ32" s="141"/>
      <c r="AK32" s="141"/>
      <c r="AL32" s="141"/>
      <c r="AM32" s="141"/>
      <c r="AN32" s="135">
        <f>SUM(AN33:AN59)</f>
        <v>107.03</v>
      </c>
      <c r="AO32" s="135" t="e">
        <f>SUM(AO33:AO59)</f>
        <v>#REF!</v>
      </c>
    </row>
    <row r="33" spans="1:41" ht="18" customHeight="1">
      <c r="A33" s="1">
        <v>3111</v>
      </c>
      <c r="B33" s="2">
        <v>28</v>
      </c>
      <c r="C33" s="2">
        <v>910</v>
      </c>
      <c r="D33" s="8">
        <v>70499</v>
      </c>
      <c r="E33" s="58" t="s">
        <v>102</v>
      </c>
      <c r="F33" s="10">
        <f>'KGS 16-18'!F33/64.8</f>
        <v>457.5324074074074</v>
      </c>
      <c r="G33" s="10"/>
      <c r="H33" s="136">
        <f>'USD 19-21'!I26</f>
        <v>183.4</v>
      </c>
      <c r="I33" s="136"/>
      <c r="J33" s="136"/>
      <c r="K33" s="136"/>
      <c r="L33" s="136"/>
      <c r="M33" s="139"/>
      <c r="N33" s="137"/>
      <c r="O33" s="139"/>
      <c r="P33" s="136">
        <v>22</v>
      </c>
      <c r="Q33" s="136"/>
      <c r="R33" s="136"/>
      <c r="S33" s="136"/>
      <c r="T33" s="136"/>
      <c r="U33" s="136"/>
      <c r="V33" s="136"/>
      <c r="W33" s="136"/>
      <c r="X33" s="136">
        <v>40.5</v>
      </c>
      <c r="Y33" s="136"/>
      <c r="Z33" s="136"/>
      <c r="AA33" s="136"/>
      <c r="AB33" s="136"/>
      <c r="AC33" s="136"/>
      <c r="AD33" s="136"/>
      <c r="AE33" s="136"/>
      <c r="AF33" s="136">
        <v>110.6</v>
      </c>
      <c r="AG33" s="136"/>
      <c r="AH33" s="136"/>
      <c r="AI33" s="136"/>
      <c r="AJ33" s="136"/>
      <c r="AK33" s="136"/>
      <c r="AL33" s="136"/>
      <c r="AM33" s="136"/>
      <c r="AN33" s="136">
        <f>104.2+0.03</f>
        <v>104.23</v>
      </c>
      <c r="AO33" s="138"/>
    </row>
    <row r="34" spans="1:41" ht="18" customHeight="1">
      <c r="A34" s="1">
        <v>3111</v>
      </c>
      <c r="B34" s="2">
        <v>28</v>
      </c>
      <c r="C34" s="2">
        <v>920</v>
      </c>
      <c r="D34" s="8">
        <v>70499</v>
      </c>
      <c r="E34" s="85" t="s">
        <v>101</v>
      </c>
      <c r="F34" s="10"/>
      <c r="G34" s="10">
        <v>1508.2</v>
      </c>
      <c r="H34" s="136"/>
      <c r="I34" s="136">
        <f>'USD 19-21'!J27*69.2</f>
        <v>23258.120000000003</v>
      </c>
      <c r="J34" s="136"/>
      <c r="K34" s="136"/>
      <c r="L34" s="136"/>
      <c r="M34" s="136">
        <f>'USD 19-21'!L27*72.4</f>
        <v>0</v>
      </c>
      <c r="N34" s="140"/>
      <c r="O34" s="136">
        <f>'USD 19-21'!N27*69.2</f>
        <v>0</v>
      </c>
      <c r="P34" s="135"/>
      <c r="Q34" s="136">
        <v>178.1</v>
      </c>
      <c r="R34" s="136"/>
      <c r="S34" s="136"/>
      <c r="T34" s="136"/>
      <c r="U34" s="136"/>
      <c r="V34" s="136"/>
      <c r="W34" s="136"/>
      <c r="X34" s="136"/>
      <c r="Y34" s="136">
        <v>389.6</v>
      </c>
      <c r="Z34" s="136"/>
      <c r="AA34" s="136"/>
      <c r="AB34" s="136"/>
      <c r="AC34" s="136"/>
      <c r="AD34" s="136"/>
      <c r="AE34" s="136"/>
      <c r="AF34" s="136"/>
      <c r="AG34" s="136">
        <v>372.9</v>
      </c>
      <c r="AH34" s="136"/>
      <c r="AI34" s="136"/>
      <c r="AJ34" s="136"/>
      <c r="AK34" s="136"/>
      <c r="AL34" s="136"/>
      <c r="AM34" s="136"/>
      <c r="AN34" s="136"/>
      <c r="AO34" s="136">
        <v>419.8</v>
      </c>
    </row>
    <row r="35" spans="1:41" ht="18" customHeight="1">
      <c r="A35" s="1">
        <v>3111</v>
      </c>
      <c r="B35" s="2">
        <v>28</v>
      </c>
      <c r="C35" s="2">
        <v>930</v>
      </c>
      <c r="D35" s="8">
        <v>70499</v>
      </c>
      <c r="E35" s="167" t="s">
        <v>100</v>
      </c>
      <c r="F35" s="10"/>
      <c r="G35" s="10">
        <v>2143</v>
      </c>
      <c r="H35" s="136"/>
      <c r="I35" s="136">
        <f>'USD 19-21'!J28*69.2</f>
        <v>69200</v>
      </c>
      <c r="J35" s="136"/>
      <c r="K35" s="136"/>
      <c r="L35" s="136"/>
      <c r="M35" s="136">
        <f>'USD 19-21'!L28*72.4</f>
        <v>0</v>
      </c>
      <c r="N35" s="140"/>
      <c r="O35" s="136">
        <f>'USD 19-21'!N28*69.2</f>
        <v>0</v>
      </c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>
        <v>234.1</v>
      </c>
      <c r="AH35" s="136"/>
      <c r="AI35" s="136"/>
      <c r="AJ35" s="136"/>
      <c r="AK35" s="136"/>
      <c r="AL35" s="136"/>
      <c r="AM35" s="136"/>
      <c r="AN35" s="136"/>
      <c r="AO35" s="136">
        <v>117.1</v>
      </c>
    </row>
    <row r="36" spans="1:41" ht="18" customHeight="1">
      <c r="A36" s="1">
        <v>3111</v>
      </c>
      <c r="B36" s="2">
        <v>28</v>
      </c>
      <c r="C36" s="2">
        <v>910</v>
      </c>
      <c r="D36" s="8">
        <v>70499</v>
      </c>
      <c r="E36" s="58" t="s">
        <v>108</v>
      </c>
      <c r="F36" s="10">
        <v>20.8</v>
      </c>
      <c r="G36" s="10"/>
      <c r="H36" s="136" t="e">
        <f>'USD 19-21'!#REF!</f>
        <v>#REF!</v>
      </c>
      <c r="I36" s="136"/>
      <c r="J36" s="136"/>
      <c r="K36" s="136"/>
      <c r="L36" s="136"/>
      <c r="M36" s="136"/>
      <c r="N36" s="137"/>
      <c r="O36" s="139"/>
      <c r="P36" s="136">
        <v>5.43</v>
      </c>
      <c r="Q36" s="136"/>
      <c r="R36" s="136"/>
      <c r="S36" s="136"/>
      <c r="T36" s="136"/>
      <c r="U36" s="136"/>
      <c r="V36" s="136"/>
      <c r="W36" s="136"/>
      <c r="X36" s="136">
        <v>4</v>
      </c>
      <c r="Y36" s="136"/>
      <c r="Z36" s="136"/>
      <c r="AA36" s="136"/>
      <c r="AB36" s="136"/>
      <c r="AC36" s="136"/>
      <c r="AD36" s="136"/>
      <c r="AE36" s="136"/>
      <c r="AF36" s="136">
        <v>3.2</v>
      </c>
      <c r="AG36" s="136"/>
      <c r="AH36" s="136"/>
      <c r="AI36" s="136"/>
      <c r="AJ36" s="136"/>
      <c r="AK36" s="136"/>
      <c r="AL36" s="136"/>
      <c r="AM36" s="136"/>
      <c r="AN36" s="136">
        <v>2.8</v>
      </c>
      <c r="AO36" s="136"/>
    </row>
    <row r="37" spans="1:41" ht="18" customHeight="1">
      <c r="A37" s="1">
        <v>3111</v>
      </c>
      <c r="B37" s="2">
        <v>28</v>
      </c>
      <c r="C37" s="2">
        <v>920</v>
      </c>
      <c r="D37" s="8">
        <v>70499</v>
      </c>
      <c r="E37" s="85" t="s">
        <v>107</v>
      </c>
      <c r="F37" s="10"/>
      <c r="G37" s="10">
        <v>400</v>
      </c>
      <c r="H37" s="136"/>
      <c r="I37" s="136" t="e">
        <f>'USD 19-21'!#REF!*69.2</f>
        <v>#REF!</v>
      </c>
      <c r="J37" s="136"/>
      <c r="K37" s="136"/>
      <c r="L37" s="136"/>
      <c r="M37" s="136" t="e">
        <f>'USD 19-21'!#REF!*72.4</f>
        <v>#REF!</v>
      </c>
      <c r="N37" s="140"/>
      <c r="O37" s="136" t="e">
        <f>'USD 19-21'!#REF!*69.2</f>
        <v>#REF!</v>
      </c>
      <c r="P37" s="136"/>
      <c r="Q37" s="136">
        <v>155.8</v>
      </c>
      <c r="R37" s="136"/>
      <c r="S37" s="136"/>
      <c r="T37" s="136"/>
      <c r="U37" s="136"/>
      <c r="V37" s="136"/>
      <c r="W37" s="136"/>
      <c r="X37" s="136"/>
      <c r="Y37" s="136">
        <v>87.4</v>
      </c>
      <c r="Z37" s="136"/>
      <c r="AA37" s="136"/>
      <c r="AB37" s="136"/>
      <c r="AC37" s="136"/>
      <c r="AD37" s="136"/>
      <c r="AE37" s="136"/>
      <c r="AF37" s="136"/>
      <c r="AG37" s="136">
        <v>92.1</v>
      </c>
      <c r="AH37" s="136"/>
      <c r="AI37" s="136"/>
      <c r="AJ37" s="136"/>
      <c r="AK37" s="136"/>
      <c r="AL37" s="136"/>
      <c r="AM37" s="136"/>
      <c r="AN37" s="136"/>
      <c r="AO37" s="136">
        <v>114.7</v>
      </c>
    </row>
    <row r="38" spans="1:41" ht="18" customHeight="1">
      <c r="A38" s="165">
        <v>3214</v>
      </c>
      <c r="B38" s="2">
        <v>42</v>
      </c>
      <c r="C38" s="2">
        <v>920</v>
      </c>
      <c r="D38" s="8">
        <v>70499</v>
      </c>
      <c r="E38" s="85" t="s">
        <v>9</v>
      </c>
      <c r="F38" s="10"/>
      <c r="G38" s="10">
        <v>5595.7</v>
      </c>
      <c r="H38" s="136"/>
      <c r="I38" s="136" t="e">
        <f>'USD 19-21'!#REF!*69.2</f>
        <v>#REF!</v>
      </c>
      <c r="J38" s="136"/>
      <c r="K38" s="136"/>
      <c r="L38" s="136"/>
      <c r="M38" s="136" t="e">
        <f>'USD 19-21'!#REF!*72.4</f>
        <v>#REF!</v>
      </c>
      <c r="N38" s="140"/>
      <c r="O38" s="136" t="e">
        <f>'USD 19-21'!#REF!*69.2</f>
        <v>#REF!</v>
      </c>
      <c r="P38" s="136"/>
      <c r="Q38" s="136">
        <v>595.7</v>
      </c>
      <c r="R38" s="136"/>
      <c r="S38" s="136"/>
      <c r="T38" s="136"/>
      <c r="U38" s="136"/>
      <c r="V38" s="136"/>
      <c r="W38" s="136"/>
      <c r="X38" s="136"/>
      <c r="Y38" s="136">
        <v>1500</v>
      </c>
      <c r="Z38" s="136"/>
      <c r="AA38" s="136"/>
      <c r="AB38" s="136"/>
      <c r="AC38" s="136"/>
      <c r="AD38" s="136"/>
      <c r="AE38" s="136"/>
      <c r="AF38" s="136"/>
      <c r="AG38" s="136">
        <v>1500</v>
      </c>
      <c r="AH38" s="136"/>
      <c r="AI38" s="136"/>
      <c r="AJ38" s="136"/>
      <c r="AK38" s="136"/>
      <c r="AL38" s="136"/>
      <c r="AM38" s="136"/>
      <c r="AN38" s="136"/>
      <c r="AO38" s="136">
        <v>2000</v>
      </c>
    </row>
    <row r="39" spans="1:41" ht="18" customHeight="1">
      <c r="A39" s="165">
        <v>3214</v>
      </c>
      <c r="B39" s="2">
        <v>42</v>
      </c>
      <c r="C39" s="2">
        <v>930</v>
      </c>
      <c r="D39" s="8">
        <v>70499</v>
      </c>
      <c r="E39" s="167" t="s">
        <v>10</v>
      </c>
      <c r="F39" s="10"/>
      <c r="G39" s="10">
        <v>4529.4</v>
      </c>
      <c r="H39" s="136"/>
      <c r="I39" s="136" t="e">
        <f>'USD 19-21'!#REF!*69.2</f>
        <v>#REF!</v>
      </c>
      <c r="J39" s="136"/>
      <c r="K39" s="136"/>
      <c r="L39" s="136"/>
      <c r="M39" s="136" t="e">
        <f>'USD 19-21'!#REF!*72.4</f>
        <v>#REF!</v>
      </c>
      <c r="N39" s="140"/>
      <c r="O39" s="136" t="e">
        <f>'USD 19-21'!#REF!*69.2</f>
        <v>#REF!</v>
      </c>
      <c r="P39" s="136"/>
      <c r="Q39" s="136">
        <v>529.4</v>
      </c>
      <c r="R39" s="136"/>
      <c r="S39" s="136"/>
      <c r="T39" s="136"/>
      <c r="U39" s="136"/>
      <c r="V39" s="136"/>
      <c r="W39" s="136"/>
      <c r="X39" s="136"/>
      <c r="Y39" s="136">
        <v>1000</v>
      </c>
      <c r="Z39" s="136"/>
      <c r="AA39" s="136"/>
      <c r="AB39" s="136"/>
      <c r="AC39" s="136"/>
      <c r="AD39" s="136"/>
      <c r="AE39" s="136"/>
      <c r="AF39" s="136"/>
      <c r="AG39" s="136">
        <v>1500</v>
      </c>
      <c r="AH39" s="136"/>
      <c r="AI39" s="136"/>
      <c r="AJ39" s="136"/>
      <c r="AK39" s="136"/>
      <c r="AL39" s="136"/>
      <c r="AM39" s="136"/>
      <c r="AN39" s="136"/>
      <c r="AO39" s="136">
        <v>1500</v>
      </c>
    </row>
    <row r="40" spans="1:41" ht="18" customHeight="1">
      <c r="A40" s="165">
        <v>3214</v>
      </c>
      <c r="B40" s="2">
        <v>42</v>
      </c>
      <c r="C40" s="2">
        <v>920</v>
      </c>
      <c r="D40" s="8">
        <v>70499</v>
      </c>
      <c r="E40" s="85" t="s">
        <v>71</v>
      </c>
      <c r="F40" s="10"/>
      <c r="G40" s="10">
        <v>1026.3</v>
      </c>
      <c r="H40" s="136"/>
      <c r="I40" s="136" t="e">
        <f>'USD 19-21'!#REF!*69.2</f>
        <v>#REF!</v>
      </c>
      <c r="J40" s="136"/>
      <c r="K40" s="136"/>
      <c r="L40" s="136"/>
      <c r="M40" s="136" t="e">
        <f>'USD 19-21'!#REF!*72.4</f>
        <v>#REF!</v>
      </c>
      <c r="N40" s="140"/>
      <c r="O40" s="136" t="e">
        <f>'USD 19-21'!#REF!*69.2</f>
        <v>#REF!</v>
      </c>
      <c r="P40" s="141"/>
      <c r="Q40" s="136">
        <v>213.9</v>
      </c>
      <c r="R40" s="136"/>
      <c r="S40" s="136"/>
      <c r="T40" s="136"/>
      <c r="U40" s="136"/>
      <c r="V40" s="136"/>
      <c r="W40" s="136"/>
      <c r="X40" s="136"/>
      <c r="Y40" s="136">
        <v>26.6</v>
      </c>
      <c r="Z40" s="136"/>
      <c r="AA40" s="136"/>
      <c r="AB40" s="136"/>
      <c r="AC40" s="136"/>
      <c r="AD40" s="136"/>
      <c r="AE40" s="136"/>
      <c r="AF40" s="136"/>
      <c r="AG40" s="136">
        <v>26.7</v>
      </c>
      <c r="AH40" s="136"/>
      <c r="AI40" s="136"/>
      <c r="AJ40" s="136"/>
      <c r="AK40" s="136"/>
      <c r="AL40" s="136"/>
      <c r="AM40" s="136"/>
      <c r="AN40" s="136"/>
      <c r="AO40" s="136">
        <v>759.1</v>
      </c>
    </row>
    <row r="41" spans="1:41" ht="15.75" customHeight="1">
      <c r="A41" s="165">
        <v>3214</v>
      </c>
      <c r="B41" s="2">
        <v>42</v>
      </c>
      <c r="C41" s="2">
        <v>930</v>
      </c>
      <c r="D41" s="8">
        <v>70499</v>
      </c>
      <c r="E41" s="167" t="s">
        <v>42</v>
      </c>
      <c r="F41" s="10"/>
      <c r="G41" s="10">
        <v>1842.3</v>
      </c>
      <c r="H41" s="136"/>
      <c r="I41" s="136" t="e">
        <f>'USD 19-21'!#REF!*69.2</f>
        <v>#REF!</v>
      </c>
      <c r="J41" s="136"/>
      <c r="K41" s="136"/>
      <c r="L41" s="136"/>
      <c r="M41" s="136" t="e">
        <f>'USD 19-21'!#REF!*72.4</f>
        <v>#REF!</v>
      </c>
      <c r="N41" s="140"/>
      <c r="O41" s="136" t="e">
        <f>'USD 19-21'!#REF!*69.2</f>
        <v>#REF!</v>
      </c>
      <c r="P41" s="138"/>
      <c r="Q41" s="136">
        <v>141.8</v>
      </c>
      <c r="R41" s="136"/>
      <c r="S41" s="136"/>
      <c r="T41" s="136"/>
      <c r="U41" s="136"/>
      <c r="V41" s="136"/>
      <c r="W41" s="136"/>
      <c r="X41" s="136"/>
      <c r="Y41" s="136">
        <v>29.5</v>
      </c>
      <c r="Z41" s="136"/>
      <c r="AA41" s="136"/>
      <c r="AB41" s="136"/>
      <c r="AC41" s="136"/>
      <c r="AD41" s="136"/>
      <c r="AE41" s="136"/>
      <c r="AF41" s="136"/>
      <c r="AG41" s="136"/>
      <c r="AH41" s="136"/>
      <c r="AI41" s="136"/>
      <c r="AJ41" s="136"/>
      <c r="AK41" s="136"/>
      <c r="AL41" s="136"/>
      <c r="AM41" s="136"/>
      <c r="AN41" s="136"/>
      <c r="AO41" s="136">
        <v>1671</v>
      </c>
    </row>
    <row r="42" spans="1:41" ht="15.75" customHeight="1">
      <c r="A42" s="165">
        <v>3214</v>
      </c>
      <c r="B42" s="2">
        <v>42</v>
      </c>
      <c r="C42" s="2">
        <v>930</v>
      </c>
      <c r="D42" s="8">
        <v>70499</v>
      </c>
      <c r="E42" s="168" t="s">
        <v>95</v>
      </c>
      <c r="F42" s="10"/>
      <c r="G42" s="10">
        <v>4000</v>
      </c>
      <c r="H42" s="136"/>
      <c r="I42" s="136" t="e">
        <f>'USD 19-21'!#REF!*69.2</f>
        <v>#REF!</v>
      </c>
      <c r="J42" s="136"/>
      <c r="K42" s="136"/>
      <c r="L42" s="136"/>
      <c r="M42" s="136" t="e">
        <f>'USD 19-21'!#REF!*72.4</f>
        <v>#REF!</v>
      </c>
      <c r="N42" s="140"/>
      <c r="O42" s="136" t="e">
        <f>'USD 19-21'!#REF!*69.2</f>
        <v>#REF!</v>
      </c>
      <c r="P42" s="135"/>
      <c r="Q42" s="136">
        <v>3000</v>
      </c>
      <c r="R42" s="136"/>
      <c r="S42" s="136"/>
      <c r="T42" s="136"/>
      <c r="U42" s="136"/>
      <c r="V42" s="136"/>
      <c r="W42" s="136"/>
      <c r="X42" s="136"/>
      <c r="Y42" s="136">
        <v>300</v>
      </c>
      <c r="Z42" s="136"/>
      <c r="AA42" s="136"/>
      <c r="AB42" s="136"/>
      <c r="AC42" s="136"/>
      <c r="AD42" s="136"/>
      <c r="AE42" s="136"/>
      <c r="AF42" s="136"/>
      <c r="AG42" s="136">
        <v>350</v>
      </c>
      <c r="AH42" s="136"/>
      <c r="AI42" s="136"/>
      <c r="AJ42" s="136"/>
      <c r="AK42" s="136"/>
      <c r="AL42" s="136"/>
      <c r="AM42" s="136"/>
      <c r="AN42" s="136"/>
      <c r="AO42" s="136">
        <v>350</v>
      </c>
    </row>
    <row r="43" spans="1:41" ht="15.75" customHeight="1">
      <c r="A43" s="165">
        <v>3214</v>
      </c>
      <c r="B43" s="2">
        <v>42</v>
      </c>
      <c r="C43" s="2">
        <v>930</v>
      </c>
      <c r="D43" s="8">
        <v>70499</v>
      </c>
      <c r="E43" s="168" t="s">
        <v>178</v>
      </c>
      <c r="F43" s="10"/>
      <c r="G43" s="10">
        <v>96500</v>
      </c>
      <c r="H43" s="136"/>
      <c r="I43" s="136" t="e">
        <f>'USD 19-21'!#REF!*69.2</f>
        <v>#REF!</v>
      </c>
      <c r="J43" s="136"/>
      <c r="K43" s="136"/>
      <c r="L43" s="136"/>
      <c r="M43" s="136" t="e">
        <f>'USD 19-21'!#REF!*72.4</f>
        <v>#REF!</v>
      </c>
      <c r="N43" s="140"/>
      <c r="O43" s="136" t="e">
        <f>'USD 19-21'!#REF!*72.4</f>
        <v>#REF!</v>
      </c>
      <c r="P43" s="136"/>
      <c r="Q43" s="136"/>
      <c r="R43" s="136"/>
      <c r="S43" s="136"/>
      <c r="T43" s="136"/>
      <c r="U43" s="136"/>
      <c r="V43" s="136"/>
      <c r="W43" s="136"/>
      <c r="X43" s="136"/>
      <c r="Y43" s="136">
        <v>20000</v>
      </c>
      <c r="Z43" s="136"/>
      <c r="AA43" s="136"/>
      <c r="AB43" s="136"/>
      <c r="AC43" s="136"/>
      <c r="AD43" s="136"/>
      <c r="AE43" s="136"/>
      <c r="AF43" s="136"/>
      <c r="AG43" s="136">
        <v>55000</v>
      </c>
      <c r="AH43" s="136"/>
      <c r="AI43" s="136"/>
      <c r="AJ43" s="136"/>
      <c r="AK43" s="136"/>
      <c r="AL43" s="136"/>
      <c r="AM43" s="136"/>
      <c r="AN43" s="136"/>
      <c r="AO43" s="136" t="e">
        <f>I43-Y43-AG43</f>
        <v>#REF!</v>
      </c>
    </row>
    <row r="44" spans="1:41" ht="15.75" customHeight="1">
      <c r="A44" s="1">
        <v>3111</v>
      </c>
      <c r="B44" s="2">
        <v>42</v>
      </c>
      <c r="C44" s="2">
        <v>910</v>
      </c>
      <c r="D44" s="8">
        <v>70499</v>
      </c>
      <c r="E44" s="9" t="s">
        <v>103</v>
      </c>
      <c r="F44" s="10">
        <f>'KGS 16-18'!F45/64.8</f>
        <v>61.7283950617284</v>
      </c>
      <c r="G44" s="10"/>
      <c r="H44" s="136" t="e">
        <f>'USD 19-21'!#REF!</f>
        <v>#REF!</v>
      </c>
      <c r="I44" s="136"/>
      <c r="J44" s="136"/>
      <c r="K44" s="136"/>
      <c r="L44" s="136"/>
      <c r="M44" s="139"/>
      <c r="N44" s="137"/>
      <c r="O44" s="139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  <c r="AO44" s="136"/>
    </row>
    <row r="45" spans="1:41" ht="15.75" customHeight="1">
      <c r="A45" s="1">
        <v>3111</v>
      </c>
      <c r="B45" s="2">
        <v>42</v>
      </c>
      <c r="C45" s="2">
        <v>920</v>
      </c>
      <c r="D45" s="8">
        <v>70499</v>
      </c>
      <c r="E45" s="84" t="s">
        <v>48</v>
      </c>
      <c r="F45" s="10"/>
      <c r="G45" s="10">
        <v>800</v>
      </c>
      <c r="H45" s="136"/>
      <c r="I45" s="136">
        <f>'USD 19-21'!J114*69.2</f>
        <v>55360</v>
      </c>
      <c r="J45" s="136"/>
      <c r="K45" s="136"/>
      <c r="L45" s="136"/>
      <c r="M45" s="136">
        <f>'USD 19-21'!L114*69.2</f>
        <v>0</v>
      </c>
      <c r="N45" s="140"/>
      <c r="O45" s="139">
        <f>'USD 19-21'!N114*69.2</f>
        <v>0</v>
      </c>
      <c r="P45" s="136"/>
      <c r="Q45" s="136">
        <v>400</v>
      </c>
      <c r="R45" s="136"/>
      <c r="S45" s="136"/>
      <c r="T45" s="136"/>
      <c r="U45" s="136"/>
      <c r="V45" s="136"/>
      <c r="W45" s="136"/>
      <c r="X45" s="136"/>
      <c r="Y45" s="136">
        <v>150</v>
      </c>
      <c r="Z45" s="136"/>
      <c r="AA45" s="136"/>
      <c r="AB45" s="136"/>
      <c r="AC45" s="136"/>
      <c r="AD45" s="136"/>
      <c r="AE45" s="136"/>
      <c r="AF45" s="136"/>
      <c r="AG45" s="136">
        <v>150</v>
      </c>
      <c r="AH45" s="136"/>
      <c r="AI45" s="136"/>
      <c r="AJ45" s="136"/>
      <c r="AK45" s="136"/>
      <c r="AL45" s="136"/>
      <c r="AM45" s="136"/>
      <c r="AN45" s="136"/>
      <c r="AO45" s="136">
        <v>100</v>
      </c>
    </row>
    <row r="46" spans="1:41" ht="15.75" customHeight="1">
      <c r="A46" s="165">
        <v>3214</v>
      </c>
      <c r="B46" s="2">
        <v>42</v>
      </c>
      <c r="C46" s="2">
        <v>920</v>
      </c>
      <c r="D46" s="8">
        <v>70499</v>
      </c>
      <c r="E46" s="113" t="s">
        <v>48</v>
      </c>
      <c r="F46" s="10"/>
      <c r="G46" s="10">
        <v>3463.5</v>
      </c>
      <c r="H46" s="136"/>
      <c r="I46" s="136"/>
      <c r="J46" s="136"/>
      <c r="K46" s="136"/>
      <c r="L46" s="136"/>
      <c r="M46" s="136"/>
      <c r="N46" s="140"/>
      <c r="O46" s="139"/>
      <c r="P46" s="136"/>
      <c r="Q46" s="136">
        <v>2310</v>
      </c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  <c r="AO46" s="136">
        <f>I46-Q46</f>
        <v>-2310</v>
      </c>
    </row>
    <row r="47" spans="1:41" ht="15.75" customHeight="1">
      <c r="A47" s="165">
        <v>3214</v>
      </c>
      <c r="B47" s="2">
        <v>42</v>
      </c>
      <c r="C47" s="2">
        <v>930</v>
      </c>
      <c r="D47" s="8">
        <v>70499</v>
      </c>
      <c r="E47" s="168" t="s">
        <v>49</v>
      </c>
      <c r="F47" s="10"/>
      <c r="G47" s="10">
        <v>1484.4</v>
      </c>
      <c r="H47" s="136"/>
      <c r="I47" s="136">
        <f>'USD 19-21'!J116*72.4</f>
        <v>83918.84</v>
      </c>
      <c r="J47" s="136"/>
      <c r="K47" s="136"/>
      <c r="L47" s="136"/>
      <c r="M47" s="136">
        <f>'USD 19-21'!L116*72.4</f>
        <v>0</v>
      </c>
      <c r="N47" s="140"/>
      <c r="O47" s="139">
        <f>'USD 19-21'!N116*69.2</f>
        <v>0</v>
      </c>
      <c r="P47" s="136"/>
      <c r="Q47" s="136">
        <v>990</v>
      </c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>
        <f>I47-Q47</f>
        <v>82928.84</v>
      </c>
    </row>
    <row r="48" spans="1:41" ht="15.75" customHeight="1">
      <c r="A48" s="165">
        <v>3111</v>
      </c>
      <c r="B48" s="2">
        <v>42</v>
      </c>
      <c r="C48" s="2">
        <v>920</v>
      </c>
      <c r="D48" s="8">
        <v>70499</v>
      </c>
      <c r="E48" s="84" t="s">
        <v>279</v>
      </c>
      <c r="F48" s="10"/>
      <c r="G48" s="10"/>
      <c r="H48" s="136"/>
      <c r="I48" s="136" t="e">
        <f>'USD 19-21'!#REF!*69.2</f>
        <v>#REF!</v>
      </c>
      <c r="J48" s="136"/>
      <c r="K48" s="136"/>
      <c r="L48" s="136"/>
      <c r="M48" s="136" t="e">
        <f>'USD 19-21'!#REF!*72.4</f>
        <v>#REF!</v>
      </c>
      <c r="N48" s="140"/>
      <c r="O48" s="136" t="e">
        <f>'USD 19-21'!#REF!*69.2</f>
        <v>#REF!</v>
      </c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</row>
    <row r="49" spans="1:41" ht="15" customHeight="1">
      <c r="A49" s="165">
        <v>3214</v>
      </c>
      <c r="B49" s="2">
        <v>42</v>
      </c>
      <c r="C49" s="2">
        <v>930</v>
      </c>
      <c r="D49" s="8">
        <v>70499</v>
      </c>
      <c r="E49" s="168" t="s">
        <v>280</v>
      </c>
      <c r="F49" s="10"/>
      <c r="G49" s="10"/>
      <c r="H49" s="136"/>
      <c r="I49" s="136" t="e">
        <f>'USD 19-21'!#REF!*69.2</f>
        <v>#REF!</v>
      </c>
      <c r="J49" s="136"/>
      <c r="K49" s="136"/>
      <c r="L49" s="136"/>
      <c r="M49" s="136" t="e">
        <f>'USD 19-21'!#REF!*72.4</f>
        <v>#REF!</v>
      </c>
      <c r="N49" s="140"/>
      <c r="O49" s="136" t="e">
        <f>'USD 19-21'!#REF!*69.2</f>
        <v>#REF!</v>
      </c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</row>
    <row r="50" spans="1:41" ht="36" customHeight="1">
      <c r="A50" s="165">
        <v>3214</v>
      </c>
      <c r="B50" s="2">
        <v>42</v>
      </c>
      <c r="C50" s="2">
        <v>930</v>
      </c>
      <c r="D50" s="8">
        <v>70499</v>
      </c>
      <c r="E50" s="168" t="s">
        <v>281</v>
      </c>
      <c r="F50" s="10"/>
      <c r="G50" s="10"/>
      <c r="H50" s="136"/>
      <c r="I50" s="136" t="e">
        <f>'USD 19-21'!#REF!*69.2</f>
        <v>#REF!</v>
      </c>
      <c r="J50" s="136"/>
      <c r="K50" s="136"/>
      <c r="L50" s="136"/>
      <c r="M50" s="136" t="e">
        <f>'USD 19-21'!#REF!*72.4</f>
        <v>#REF!</v>
      </c>
      <c r="N50" s="140"/>
      <c r="O50" s="136" t="e">
        <f>'USD 19-21'!#REF!*69.2</f>
        <v>#REF!</v>
      </c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</row>
    <row r="51" spans="1:41" ht="15.75" customHeight="1">
      <c r="A51" s="1">
        <v>3111</v>
      </c>
      <c r="B51" s="2">
        <v>42</v>
      </c>
      <c r="C51" s="2">
        <v>920</v>
      </c>
      <c r="D51" s="8">
        <v>70499</v>
      </c>
      <c r="E51" s="84" t="s">
        <v>179</v>
      </c>
      <c r="F51" s="10"/>
      <c r="G51" s="10">
        <v>6246.3</v>
      </c>
      <c r="H51" s="136"/>
      <c r="I51" s="136">
        <f>'USD 19-21'!J118*69.2</f>
        <v>423068.04</v>
      </c>
      <c r="J51" s="136"/>
      <c r="K51" s="136"/>
      <c r="L51" s="136"/>
      <c r="M51" s="136">
        <f>'USD 19-21'!L118*72.4</f>
        <v>386406.04000000004</v>
      </c>
      <c r="N51" s="140"/>
      <c r="O51" s="136">
        <f>'USD 19-21'!N118*69.2</f>
        <v>139230.4</v>
      </c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6">
        <v>6246.3</v>
      </c>
    </row>
    <row r="52" spans="1:41" ht="15.75" customHeight="1">
      <c r="A52" s="165">
        <v>3214</v>
      </c>
      <c r="B52" s="2">
        <v>42</v>
      </c>
      <c r="C52" s="2">
        <v>920</v>
      </c>
      <c r="D52" s="8">
        <v>70499</v>
      </c>
      <c r="E52" s="84" t="s">
        <v>53</v>
      </c>
      <c r="F52" s="10"/>
      <c r="G52" s="10">
        <v>3000</v>
      </c>
      <c r="H52" s="136"/>
      <c r="I52" s="136">
        <f>'USD 19-21'!J120*69.2</f>
        <v>138400</v>
      </c>
      <c r="J52" s="136"/>
      <c r="K52" s="136"/>
      <c r="L52" s="136"/>
      <c r="M52" s="136">
        <f>'USD 19-21'!L120*72.4</f>
        <v>271500</v>
      </c>
      <c r="N52" s="140"/>
      <c r="O52" s="136">
        <f>'USD 19-21'!N120*69.2</f>
        <v>34600</v>
      </c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6">
        <f>I52/2</f>
        <v>69200</v>
      </c>
      <c r="AH52" s="135"/>
      <c r="AI52" s="135"/>
      <c r="AJ52" s="135"/>
      <c r="AK52" s="135"/>
      <c r="AL52" s="135"/>
      <c r="AM52" s="135"/>
      <c r="AN52" s="135"/>
      <c r="AO52" s="136">
        <f>I52/2</f>
        <v>69200</v>
      </c>
    </row>
    <row r="53" spans="1:41" ht="15.75" customHeight="1">
      <c r="A53" s="165">
        <v>3214</v>
      </c>
      <c r="B53" s="2">
        <v>42</v>
      </c>
      <c r="C53" s="2">
        <v>930</v>
      </c>
      <c r="D53" s="8">
        <v>70499</v>
      </c>
      <c r="E53" s="168" t="s">
        <v>54</v>
      </c>
      <c r="F53" s="10"/>
      <c r="G53" s="10">
        <v>15000</v>
      </c>
      <c r="H53" s="136"/>
      <c r="I53" s="136">
        <f>'USD 19-21'!J121*69.2</f>
        <v>968800</v>
      </c>
      <c r="J53" s="136"/>
      <c r="K53" s="136"/>
      <c r="L53" s="136"/>
      <c r="M53" s="136">
        <f>'USD 19-21'!L121*72.4</f>
        <v>1629000.0000000002</v>
      </c>
      <c r="N53" s="140"/>
      <c r="O53" s="136">
        <f>'USD 19-21'!N121*69.2</f>
        <v>311400</v>
      </c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>
        <f>I53/2</f>
        <v>484400</v>
      </c>
      <c r="AH53" s="136"/>
      <c r="AI53" s="136"/>
      <c r="AJ53" s="136"/>
      <c r="AK53" s="136"/>
      <c r="AL53" s="136"/>
      <c r="AM53" s="136"/>
      <c r="AN53" s="136"/>
      <c r="AO53" s="136">
        <f>I53/2</f>
        <v>484400</v>
      </c>
    </row>
    <row r="54" spans="1:41" s="22" customFormat="1" ht="15.75" customHeight="1">
      <c r="A54" s="165">
        <v>3214</v>
      </c>
      <c r="B54" s="2">
        <v>42</v>
      </c>
      <c r="C54" s="2">
        <v>930</v>
      </c>
      <c r="D54" s="8">
        <v>70499</v>
      </c>
      <c r="E54" s="168" t="s">
        <v>160</v>
      </c>
      <c r="F54" s="10"/>
      <c r="G54" s="10">
        <v>12000</v>
      </c>
      <c r="H54" s="136"/>
      <c r="I54" s="136">
        <f>'USD 19-21'!J122*69.2</f>
        <v>1660800</v>
      </c>
      <c r="J54" s="136"/>
      <c r="K54" s="136"/>
      <c r="L54" s="136"/>
      <c r="M54" s="136">
        <f>'USD 19-21'!L122*72.4</f>
        <v>3258000.0000000005</v>
      </c>
      <c r="N54" s="140"/>
      <c r="O54" s="136">
        <f>'USD 19-21'!N122*69.2</f>
        <v>553600</v>
      </c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>
        <f>I54/2</f>
        <v>830400</v>
      </c>
      <c r="AH54" s="136"/>
      <c r="AI54" s="136"/>
      <c r="AJ54" s="136"/>
      <c r="AK54" s="136"/>
      <c r="AL54" s="136"/>
      <c r="AM54" s="136"/>
      <c r="AN54" s="136"/>
      <c r="AO54" s="136">
        <f>I54/2</f>
        <v>830400</v>
      </c>
    </row>
    <row r="55" spans="1:41" ht="33">
      <c r="A55" s="165">
        <v>3214</v>
      </c>
      <c r="B55" s="2">
        <v>42</v>
      </c>
      <c r="C55" s="2">
        <v>920</v>
      </c>
      <c r="D55" s="8">
        <v>70499</v>
      </c>
      <c r="E55" s="84" t="s">
        <v>67</v>
      </c>
      <c r="F55" s="10"/>
      <c r="G55" s="10">
        <v>2000</v>
      </c>
      <c r="H55" s="136"/>
      <c r="I55" s="136" t="e">
        <f>'USD 19-21'!#REF!*69.2</f>
        <v>#REF!</v>
      </c>
      <c r="J55" s="136"/>
      <c r="K55" s="136"/>
      <c r="L55" s="136"/>
      <c r="M55" s="136" t="e">
        <f>'USD 19-21'!#REF!*72.4</f>
        <v>#REF!</v>
      </c>
      <c r="N55" s="140"/>
      <c r="O55" s="136" t="e">
        <f>'USD 19-21'!#REF!*69.2</f>
        <v>#REF!</v>
      </c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  <c r="AB55" s="136"/>
      <c r="AC55" s="136"/>
      <c r="AD55" s="136"/>
      <c r="AE55" s="136"/>
      <c r="AF55" s="136"/>
      <c r="AG55" s="136"/>
      <c r="AH55" s="136"/>
      <c r="AI55" s="136"/>
      <c r="AJ55" s="136"/>
      <c r="AK55" s="136"/>
      <c r="AL55" s="136"/>
      <c r="AM55" s="136"/>
      <c r="AN55" s="136"/>
      <c r="AO55" s="136">
        <v>4500</v>
      </c>
    </row>
    <row r="56" spans="1:41" ht="33">
      <c r="A56" s="165">
        <v>3214</v>
      </c>
      <c r="B56" s="2">
        <v>42</v>
      </c>
      <c r="C56" s="2">
        <v>930</v>
      </c>
      <c r="D56" s="8">
        <v>70499</v>
      </c>
      <c r="E56" s="168" t="s">
        <v>68</v>
      </c>
      <c r="F56" s="10"/>
      <c r="G56" s="10">
        <v>3000</v>
      </c>
      <c r="H56" s="136"/>
      <c r="I56" s="136">
        <f>'USD 19-21'!J124*69.2</f>
        <v>140822</v>
      </c>
      <c r="J56" s="136"/>
      <c r="K56" s="136"/>
      <c r="L56" s="136"/>
      <c r="M56" s="136">
        <f>'USD 19-21'!L124*72.4</f>
        <v>1013.6000000000001</v>
      </c>
      <c r="N56" s="140"/>
      <c r="O56" s="136">
        <f>'USD 19-21'!N124*69.2</f>
        <v>0</v>
      </c>
      <c r="P56" s="136"/>
      <c r="Q56" s="136">
        <v>2000</v>
      </c>
      <c r="R56" s="136"/>
      <c r="S56" s="136"/>
      <c r="T56" s="136"/>
      <c r="U56" s="136"/>
      <c r="V56" s="136"/>
      <c r="W56" s="136"/>
      <c r="X56" s="136"/>
      <c r="Y56" s="136">
        <v>1000</v>
      </c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</row>
    <row r="57" spans="1:41" ht="33">
      <c r="A57" s="165">
        <v>3214</v>
      </c>
      <c r="B57" s="2">
        <v>42</v>
      </c>
      <c r="C57" s="2">
        <v>930</v>
      </c>
      <c r="D57" s="8">
        <v>70499</v>
      </c>
      <c r="E57" s="168" t="s">
        <v>77</v>
      </c>
      <c r="F57" s="10"/>
      <c r="G57" s="10">
        <v>9000</v>
      </c>
      <c r="H57" s="136"/>
      <c r="I57" s="136">
        <f>'USD 19-21'!J125*69.2</f>
        <v>346000</v>
      </c>
      <c r="J57" s="136"/>
      <c r="K57" s="136"/>
      <c r="L57" s="136"/>
      <c r="M57" s="136">
        <f>'USD 19-21'!L125*72.4</f>
        <v>130320.00000000001</v>
      </c>
      <c r="N57" s="140"/>
      <c r="O57" s="136">
        <f>'USD 19-21'!N125*69.2</f>
        <v>0</v>
      </c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>
        <v>2000</v>
      </c>
      <c r="AH57" s="136"/>
      <c r="AI57" s="136"/>
      <c r="AJ57" s="136"/>
      <c r="AK57" s="136"/>
      <c r="AL57" s="136"/>
      <c r="AM57" s="136"/>
      <c r="AN57" s="136"/>
      <c r="AO57" s="136">
        <v>2000</v>
      </c>
    </row>
    <row r="58" spans="1:41" ht="33">
      <c r="A58" s="165">
        <v>3214</v>
      </c>
      <c r="B58" s="2">
        <v>42</v>
      </c>
      <c r="C58" s="2">
        <v>930</v>
      </c>
      <c r="D58" s="8">
        <v>70499</v>
      </c>
      <c r="E58" s="84" t="s">
        <v>155</v>
      </c>
      <c r="F58" s="10"/>
      <c r="G58" s="10">
        <v>24000</v>
      </c>
      <c r="H58" s="136"/>
      <c r="I58" s="136">
        <f>'USD 19-21'!J126*69.2</f>
        <v>33216</v>
      </c>
      <c r="J58" s="136"/>
      <c r="K58" s="136"/>
      <c r="L58" s="136"/>
      <c r="M58" s="136">
        <f>'USD 19-21'!L126*72.4</f>
        <v>245979.00000000003</v>
      </c>
      <c r="N58" s="140"/>
      <c r="O58" s="136">
        <f>'USD 19-21'!N126*69.2</f>
        <v>1747300</v>
      </c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  <c r="AB58" s="136"/>
      <c r="AC58" s="136"/>
      <c r="AD58" s="136"/>
      <c r="AE58" s="136"/>
      <c r="AF58" s="136"/>
      <c r="AG58" s="136">
        <v>500</v>
      </c>
      <c r="AH58" s="136"/>
      <c r="AI58" s="136"/>
      <c r="AJ58" s="136"/>
      <c r="AK58" s="136"/>
      <c r="AL58" s="136"/>
      <c r="AM58" s="136"/>
      <c r="AN58" s="136"/>
      <c r="AO58" s="136">
        <v>500</v>
      </c>
    </row>
    <row r="59" spans="1:41" ht="33">
      <c r="A59" s="165">
        <v>3214</v>
      </c>
      <c r="B59" s="2">
        <v>42</v>
      </c>
      <c r="C59" s="2">
        <v>930</v>
      </c>
      <c r="D59" s="8">
        <v>70499</v>
      </c>
      <c r="E59" s="168" t="s">
        <v>156</v>
      </c>
      <c r="F59" s="10"/>
      <c r="G59" s="10">
        <v>967.5</v>
      </c>
      <c r="H59" s="136"/>
      <c r="I59" s="136">
        <f>'USD 19-21'!J127*69.2</f>
        <v>283256.36000000004</v>
      </c>
      <c r="J59" s="136"/>
      <c r="K59" s="136"/>
      <c r="L59" s="136"/>
      <c r="M59" s="136">
        <f>'USD 19-21'!L127*72.4</f>
        <v>1227650.6</v>
      </c>
      <c r="N59" s="140"/>
      <c r="O59" s="136">
        <f>'USD 19-21'!N127*69.2</f>
        <v>1173161.4400000002</v>
      </c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>
        <f>I59/2</f>
        <v>141628.18000000002</v>
      </c>
      <c r="AH59" s="136"/>
      <c r="AI59" s="136"/>
      <c r="AJ59" s="136"/>
      <c r="AK59" s="136"/>
      <c r="AL59" s="136"/>
      <c r="AM59" s="136"/>
      <c r="AN59" s="136"/>
      <c r="AO59" s="136">
        <f>I59/2</f>
        <v>141628.18000000002</v>
      </c>
    </row>
    <row r="60" spans="1:41" ht="16.5">
      <c r="A60" s="165">
        <v>3214</v>
      </c>
      <c r="B60" s="2">
        <v>42</v>
      </c>
      <c r="C60" s="2">
        <v>930</v>
      </c>
      <c r="D60" s="8">
        <v>70499</v>
      </c>
      <c r="E60" s="84" t="s">
        <v>278</v>
      </c>
      <c r="F60" s="10"/>
      <c r="G60" s="10"/>
      <c r="H60" s="136"/>
      <c r="I60" s="136">
        <f>'USD 19-21'!J129*69.2</f>
        <v>158841.68000000002</v>
      </c>
      <c r="J60" s="136"/>
      <c r="K60" s="136"/>
      <c r="L60" s="136"/>
      <c r="M60" s="136">
        <f>'USD 19-21'!L129*72.4</f>
        <v>505540.24000000005</v>
      </c>
      <c r="N60" s="140"/>
      <c r="O60" s="136">
        <f>'USD 19-21'!N129*69.2</f>
        <v>526688.12</v>
      </c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</row>
    <row r="61" spans="1:41" ht="16.5">
      <c r="A61" s="165">
        <v>3214</v>
      </c>
      <c r="B61" s="2">
        <v>42</v>
      </c>
      <c r="C61" s="2">
        <v>930</v>
      </c>
      <c r="D61" s="8">
        <v>70499</v>
      </c>
      <c r="E61" s="168" t="s">
        <v>277</v>
      </c>
      <c r="F61" s="10"/>
      <c r="G61" s="10"/>
      <c r="H61" s="136"/>
      <c r="I61" s="136">
        <f>'USD 19-21'!J130*69.2</f>
        <v>140268.4</v>
      </c>
      <c r="J61" s="136"/>
      <c r="K61" s="136"/>
      <c r="L61" s="136"/>
      <c r="M61" s="136">
        <f>'USD 19-21'!L130*72.4</f>
        <v>607921.0800000001</v>
      </c>
      <c r="N61" s="140"/>
      <c r="O61" s="136">
        <f>'USD 19-21'!N130*69.2</f>
        <v>580940.92</v>
      </c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</row>
    <row r="62" spans="1:41" ht="16.5" hidden="1">
      <c r="A62" s="165"/>
      <c r="B62" s="2"/>
      <c r="C62" s="2"/>
      <c r="D62" s="8"/>
      <c r="E62" s="84"/>
      <c r="F62" s="10"/>
      <c r="G62" s="10"/>
      <c r="H62" s="136"/>
      <c r="I62" s="136"/>
      <c r="J62" s="136"/>
      <c r="K62" s="136"/>
      <c r="L62" s="136"/>
      <c r="M62" s="136"/>
      <c r="N62" s="140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6"/>
      <c r="AM62" s="136"/>
      <c r="AN62" s="136"/>
      <c r="AO62" s="136"/>
    </row>
    <row r="63" spans="2:41" ht="18" customHeight="1">
      <c r="B63" s="2"/>
      <c r="C63" s="2"/>
      <c r="D63" s="2"/>
      <c r="E63" s="119" t="s">
        <v>7</v>
      </c>
      <c r="F63" s="93">
        <f aca="true" t="shared" si="5" ref="F63:O63">F64</f>
        <v>1487.6469135802467</v>
      </c>
      <c r="G63" s="93">
        <f t="shared" si="5"/>
        <v>23949.4</v>
      </c>
      <c r="H63" s="138" t="e">
        <f t="shared" si="5"/>
        <v>#REF!</v>
      </c>
      <c r="I63" s="138" t="e">
        <f t="shared" si="5"/>
        <v>#REF!</v>
      </c>
      <c r="J63" s="136" t="e">
        <f>H63-F63</f>
        <v>#REF!</v>
      </c>
      <c r="K63" s="136" t="e">
        <f>I63-G63</f>
        <v>#REF!</v>
      </c>
      <c r="L63" s="138" t="e">
        <f t="shared" si="5"/>
        <v>#REF!</v>
      </c>
      <c r="M63" s="138" t="e">
        <f t="shared" si="5"/>
        <v>#REF!</v>
      </c>
      <c r="N63" s="143">
        <f t="shared" si="5"/>
        <v>0</v>
      </c>
      <c r="O63" s="138" t="e">
        <f t="shared" si="5"/>
        <v>#REF!</v>
      </c>
      <c r="P63" s="138">
        <f>P64</f>
        <v>141.74</v>
      </c>
      <c r="Q63" s="138">
        <f>Q64</f>
        <v>3365.15</v>
      </c>
      <c r="R63" s="138"/>
      <c r="S63" s="138"/>
      <c r="T63" s="138"/>
      <c r="U63" s="138"/>
      <c r="V63" s="138"/>
      <c r="W63" s="138"/>
      <c r="X63" s="138">
        <f>X64</f>
        <v>410.6</v>
      </c>
      <c r="Y63" s="138">
        <f>Y64</f>
        <v>4895.08</v>
      </c>
      <c r="Z63" s="138"/>
      <c r="AA63" s="138"/>
      <c r="AB63" s="138"/>
      <c r="AC63" s="138"/>
      <c r="AD63" s="138"/>
      <c r="AE63" s="138"/>
      <c r="AF63" s="138">
        <f>AF64</f>
        <v>241.43</v>
      </c>
      <c r="AG63" s="138">
        <f>AG64</f>
        <v>5434.95</v>
      </c>
      <c r="AH63" s="138"/>
      <c r="AI63" s="138"/>
      <c r="AJ63" s="138"/>
      <c r="AK63" s="138"/>
      <c r="AL63" s="138"/>
      <c r="AM63" s="138"/>
      <c r="AN63" s="138">
        <f>AN64</f>
        <v>47.480000000000004</v>
      </c>
      <c r="AO63" s="138">
        <f>AO64</f>
        <v>5622.719999999999</v>
      </c>
    </row>
    <row r="64" spans="2:41" ht="18" customHeight="1">
      <c r="B64" s="2"/>
      <c r="C64" s="2"/>
      <c r="D64" s="2"/>
      <c r="E64" s="120" t="s">
        <v>3</v>
      </c>
      <c r="F64" s="94">
        <f>SUM(F65:F75)</f>
        <v>1487.6469135802467</v>
      </c>
      <c r="G64" s="94">
        <f>SUM(G65:G75)</f>
        <v>23949.4</v>
      </c>
      <c r="H64" s="135" t="e">
        <f>SUM(H65:H75)</f>
        <v>#REF!</v>
      </c>
      <c r="I64" s="135" t="e">
        <f>SUM(I65:I75)</f>
        <v>#REF!</v>
      </c>
      <c r="J64" s="136" t="e">
        <f>H64-F64</f>
        <v>#REF!</v>
      </c>
      <c r="K64" s="136" t="e">
        <f>I64-G64</f>
        <v>#REF!</v>
      </c>
      <c r="L64" s="135" t="e">
        <f aca="true" t="shared" si="6" ref="L64:Q64">SUM(L65:L75)</f>
        <v>#REF!</v>
      </c>
      <c r="M64" s="135" t="e">
        <f t="shared" si="6"/>
        <v>#REF!</v>
      </c>
      <c r="N64" s="144">
        <f t="shared" si="6"/>
        <v>0</v>
      </c>
      <c r="O64" s="135" t="e">
        <f t="shared" si="6"/>
        <v>#REF!</v>
      </c>
      <c r="P64" s="135">
        <f t="shared" si="6"/>
        <v>141.74</v>
      </c>
      <c r="Q64" s="135">
        <f t="shared" si="6"/>
        <v>3365.15</v>
      </c>
      <c r="R64" s="136"/>
      <c r="S64" s="136"/>
      <c r="T64" s="136"/>
      <c r="U64" s="136"/>
      <c r="V64" s="136"/>
      <c r="W64" s="136"/>
      <c r="X64" s="135">
        <f>SUM(X65:X75)</f>
        <v>410.6</v>
      </c>
      <c r="Y64" s="135">
        <f>SUM(Y65:Y75)</f>
        <v>4895.08</v>
      </c>
      <c r="Z64" s="136"/>
      <c r="AA64" s="136"/>
      <c r="AB64" s="136"/>
      <c r="AC64" s="136"/>
      <c r="AD64" s="136"/>
      <c r="AE64" s="136"/>
      <c r="AF64" s="135">
        <f>SUM(AF65:AF75)</f>
        <v>241.43</v>
      </c>
      <c r="AG64" s="135">
        <f>SUM(AG65:AG75)</f>
        <v>5434.95</v>
      </c>
      <c r="AH64" s="136"/>
      <c r="AI64" s="136"/>
      <c r="AJ64" s="136"/>
      <c r="AK64" s="136"/>
      <c r="AL64" s="136"/>
      <c r="AM64" s="136"/>
      <c r="AN64" s="135">
        <f>SUM(AN65:AN75)</f>
        <v>47.480000000000004</v>
      </c>
      <c r="AO64" s="135">
        <f>SUM(AO65:AO75)</f>
        <v>5622.719999999999</v>
      </c>
    </row>
    <row r="65" spans="1:41" ht="18" customHeight="1">
      <c r="A65" s="166">
        <v>3111</v>
      </c>
      <c r="B65" s="2">
        <v>34</v>
      </c>
      <c r="C65" s="2">
        <v>921</v>
      </c>
      <c r="D65" s="8">
        <v>70989</v>
      </c>
      <c r="E65" s="84" t="s">
        <v>105</v>
      </c>
      <c r="F65" s="10"/>
      <c r="G65" s="10">
        <v>3600</v>
      </c>
      <c r="H65" s="136"/>
      <c r="I65" s="136">
        <f>'USD 19-21'!J32*69.2</f>
        <v>0</v>
      </c>
      <c r="J65" s="136"/>
      <c r="K65" s="136"/>
      <c r="L65" s="136"/>
      <c r="M65" s="136">
        <f>'USD 19-21'!L32*72.4</f>
        <v>0</v>
      </c>
      <c r="N65" s="140"/>
      <c r="O65" s="136">
        <f>'USD 19-21'!N32*69.2</f>
        <v>0</v>
      </c>
      <c r="P65" s="136"/>
      <c r="Q65" s="136">
        <v>900</v>
      </c>
      <c r="R65" s="136"/>
      <c r="S65" s="136"/>
      <c r="T65" s="136"/>
      <c r="U65" s="136"/>
      <c r="V65" s="136"/>
      <c r="W65" s="136"/>
      <c r="X65" s="136"/>
      <c r="Y65" s="136">
        <v>900</v>
      </c>
      <c r="Z65" s="136"/>
      <c r="AA65" s="136"/>
      <c r="AB65" s="136"/>
      <c r="AC65" s="136"/>
      <c r="AD65" s="136"/>
      <c r="AE65" s="136"/>
      <c r="AF65" s="136"/>
      <c r="AG65" s="136">
        <v>900</v>
      </c>
      <c r="AH65" s="136"/>
      <c r="AI65" s="136"/>
      <c r="AJ65" s="136"/>
      <c r="AK65" s="136"/>
      <c r="AL65" s="136"/>
      <c r="AM65" s="136"/>
      <c r="AN65" s="136"/>
      <c r="AO65" s="136">
        <v>900</v>
      </c>
    </row>
    <row r="66" spans="1:41" ht="18" customHeight="1">
      <c r="A66" s="166">
        <v>3111</v>
      </c>
      <c r="B66" s="2">
        <v>34</v>
      </c>
      <c r="C66" s="2">
        <v>931</v>
      </c>
      <c r="D66" s="8">
        <v>70989</v>
      </c>
      <c r="E66" s="168" t="s">
        <v>106</v>
      </c>
      <c r="F66" s="10"/>
      <c r="G66" s="10">
        <v>4100</v>
      </c>
      <c r="H66" s="136"/>
      <c r="I66" s="136" t="e">
        <f>'USD 19-21'!#REF!*69.2</f>
        <v>#REF!</v>
      </c>
      <c r="J66" s="136"/>
      <c r="K66" s="136"/>
      <c r="L66" s="136"/>
      <c r="M66" s="136" t="e">
        <f>'USD 19-21'!#REF!*72.4</f>
        <v>#REF!</v>
      </c>
      <c r="N66" s="140"/>
      <c r="O66" s="136" t="e">
        <f>'USD 19-21'!#REF!*69.2</f>
        <v>#REF!</v>
      </c>
      <c r="P66" s="136"/>
      <c r="Q66" s="136">
        <v>1025</v>
      </c>
      <c r="R66" s="136"/>
      <c r="S66" s="136"/>
      <c r="T66" s="136"/>
      <c r="U66" s="136"/>
      <c r="V66" s="136"/>
      <c r="W66" s="136"/>
      <c r="X66" s="136"/>
      <c r="Y66" s="136">
        <v>1025</v>
      </c>
      <c r="Z66" s="136"/>
      <c r="AA66" s="136"/>
      <c r="AB66" s="136"/>
      <c r="AC66" s="136"/>
      <c r="AD66" s="136"/>
      <c r="AE66" s="136"/>
      <c r="AF66" s="136"/>
      <c r="AG66" s="136">
        <v>1025</v>
      </c>
      <c r="AH66" s="136"/>
      <c r="AI66" s="136"/>
      <c r="AJ66" s="136"/>
      <c r="AK66" s="136"/>
      <c r="AL66" s="136"/>
      <c r="AM66" s="136"/>
      <c r="AN66" s="136"/>
      <c r="AO66" s="136">
        <v>1025</v>
      </c>
    </row>
    <row r="67" spans="1:41" ht="43.5" customHeight="1">
      <c r="A67" s="1">
        <v>3111</v>
      </c>
      <c r="B67" s="2">
        <v>34</v>
      </c>
      <c r="C67" s="2">
        <v>911</v>
      </c>
      <c r="D67" s="8">
        <v>70989</v>
      </c>
      <c r="E67" s="9" t="s">
        <v>153</v>
      </c>
      <c r="F67" s="10">
        <v>407.4</v>
      </c>
      <c r="G67" s="10"/>
      <c r="H67" s="136">
        <f>'USD 19-21'!I35</f>
        <v>233.6</v>
      </c>
      <c r="I67" s="136"/>
      <c r="J67" s="136"/>
      <c r="K67" s="136"/>
      <c r="L67" s="136">
        <v>31500</v>
      </c>
      <c r="M67" s="136"/>
      <c r="N67" s="137"/>
      <c r="O67" s="139"/>
      <c r="P67" s="136">
        <v>75</v>
      </c>
      <c r="Q67" s="136"/>
      <c r="R67" s="136"/>
      <c r="S67" s="136"/>
      <c r="T67" s="136"/>
      <c r="U67" s="136"/>
      <c r="V67" s="136"/>
      <c r="W67" s="136"/>
      <c r="X67" s="136">
        <v>40</v>
      </c>
      <c r="Y67" s="136"/>
      <c r="Z67" s="136"/>
      <c r="AA67" s="136"/>
      <c r="AB67" s="136"/>
      <c r="AC67" s="136"/>
      <c r="AD67" s="136"/>
      <c r="AE67" s="136"/>
      <c r="AF67" s="136">
        <v>28</v>
      </c>
      <c r="AG67" s="136"/>
      <c r="AH67" s="136"/>
      <c r="AI67" s="136"/>
      <c r="AJ67" s="136"/>
      <c r="AK67" s="136"/>
      <c r="AL67" s="136"/>
      <c r="AM67" s="136"/>
      <c r="AN67" s="136">
        <v>11.3</v>
      </c>
      <c r="AO67" s="136"/>
    </row>
    <row r="68" spans="1:41" ht="42" customHeight="1">
      <c r="A68" s="1">
        <v>3111</v>
      </c>
      <c r="B68" s="2">
        <v>34</v>
      </c>
      <c r="C68" s="2">
        <v>921</v>
      </c>
      <c r="D68" s="8">
        <v>70989</v>
      </c>
      <c r="E68" s="84" t="s">
        <v>208</v>
      </c>
      <c r="F68" s="10"/>
      <c r="G68" s="10">
        <v>6000</v>
      </c>
      <c r="H68" s="136"/>
      <c r="I68" s="136">
        <f>'USD 19-21'!J36*69.2</f>
        <v>103800</v>
      </c>
      <c r="J68" s="136"/>
      <c r="K68" s="136"/>
      <c r="L68" s="136"/>
      <c r="M68" s="136">
        <f>'USD 19-21'!L36*72.4</f>
        <v>217200.00000000003</v>
      </c>
      <c r="N68" s="140"/>
      <c r="O68" s="136">
        <f>'USD 19-21'!N36*69.2</f>
        <v>104872.6</v>
      </c>
      <c r="P68" s="136"/>
      <c r="Q68" s="136">
        <v>0</v>
      </c>
      <c r="R68" s="136"/>
      <c r="S68" s="136"/>
      <c r="T68" s="136"/>
      <c r="U68" s="136"/>
      <c r="V68" s="136"/>
      <c r="W68" s="136"/>
      <c r="X68" s="136"/>
      <c r="Y68" s="136">
        <v>700</v>
      </c>
      <c r="Z68" s="136"/>
      <c r="AA68" s="136"/>
      <c r="AB68" s="136"/>
      <c r="AC68" s="136"/>
      <c r="AD68" s="136"/>
      <c r="AE68" s="136"/>
      <c r="AF68" s="136"/>
      <c r="AG68" s="136">
        <v>1000</v>
      </c>
      <c r="AH68" s="136"/>
      <c r="AI68" s="136"/>
      <c r="AJ68" s="136"/>
      <c r="AK68" s="136"/>
      <c r="AL68" s="136"/>
      <c r="AM68" s="136"/>
      <c r="AN68" s="136"/>
      <c r="AO68" s="136">
        <v>800</v>
      </c>
    </row>
    <row r="69" spans="1:41" ht="18" customHeight="1">
      <c r="A69" s="166">
        <v>3111</v>
      </c>
      <c r="B69" s="2">
        <v>34</v>
      </c>
      <c r="C69" s="2">
        <v>921</v>
      </c>
      <c r="D69" s="8">
        <v>70989</v>
      </c>
      <c r="E69" s="84" t="s">
        <v>150</v>
      </c>
      <c r="F69" s="10"/>
      <c r="G69" s="10">
        <v>4100</v>
      </c>
      <c r="H69" s="136"/>
      <c r="I69" s="136" t="e">
        <f>'USD 19-21'!#REF!*69.2</f>
        <v>#REF!</v>
      </c>
      <c r="J69" s="136"/>
      <c r="K69" s="136"/>
      <c r="L69" s="136"/>
      <c r="M69" s="136" t="e">
        <f>'USD 19-21'!#REF!*72.4</f>
        <v>#REF!</v>
      </c>
      <c r="N69" s="140"/>
      <c r="O69" s="136" t="e">
        <f>'USD 19-21'!#REF!*69.2</f>
        <v>#REF!</v>
      </c>
      <c r="P69" s="136"/>
      <c r="Q69" s="136">
        <v>1120</v>
      </c>
      <c r="R69" s="136"/>
      <c r="S69" s="136"/>
      <c r="T69" s="136"/>
      <c r="U69" s="136"/>
      <c r="V69" s="136"/>
      <c r="W69" s="136"/>
      <c r="X69" s="136"/>
      <c r="Y69" s="136">
        <v>1100</v>
      </c>
      <c r="Z69" s="136"/>
      <c r="AA69" s="136"/>
      <c r="AB69" s="136"/>
      <c r="AC69" s="136"/>
      <c r="AD69" s="136"/>
      <c r="AE69" s="136"/>
      <c r="AF69" s="136"/>
      <c r="AG69" s="136">
        <v>900</v>
      </c>
      <c r="AH69" s="136"/>
      <c r="AI69" s="136"/>
      <c r="AJ69" s="136"/>
      <c r="AK69" s="136"/>
      <c r="AL69" s="136"/>
      <c r="AM69" s="136"/>
      <c r="AN69" s="136"/>
      <c r="AO69" s="136">
        <v>980</v>
      </c>
    </row>
    <row r="70" spans="1:41" ht="24.75" customHeight="1">
      <c r="A70" s="166">
        <v>3111</v>
      </c>
      <c r="B70" s="2">
        <v>73</v>
      </c>
      <c r="C70" s="2">
        <v>911</v>
      </c>
      <c r="D70" s="8">
        <v>70989</v>
      </c>
      <c r="E70" s="9" t="s">
        <v>38</v>
      </c>
      <c r="F70" s="10">
        <f>'KGS 16-18'!F68/64.8</f>
        <v>1080.2469135802469</v>
      </c>
      <c r="G70" s="10"/>
      <c r="H70" s="136">
        <v>128235.3</v>
      </c>
      <c r="I70" s="136"/>
      <c r="J70" s="136"/>
      <c r="K70" s="136"/>
      <c r="L70" s="136">
        <v>4000</v>
      </c>
      <c r="M70" s="139"/>
      <c r="N70" s="137"/>
      <c r="O70" s="139"/>
      <c r="P70" s="136">
        <v>66.74</v>
      </c>
      <c r="Q70" s="136"/>
      <c r="R70" s="136"/>
      <c r="S70" s="136"/>
      <c r="T70" s="136"/>
      <c r="U70" s="136"/>
      <c r="V70" s="136"/>
      <c r="W70" s="136"/>
      <c r="X70" s="136">
        <v>370.6</v>
      </c>
      <c r="Y70" s="136"/>
      <c r="Z70" s="136"/>
      <c r="AA70" s="136"/>
      <c r="AB70" s="136"/>
      <c r="AC70" s="136"/>
      <c r="AD70" s="136"/>
      <c r="AE70" s="136"/>
      <c r="AF70" s="136">
        <v>213.43</v>
      </c>
      <c r="AG70" s="136"/>
      <c r="AH70" s="136"/>
      <c r="AI70" s="136"/>
      <c r="AJ70" s="136"/>
      <c r="AK70" s="136"/>
      <c r="AL70" s="136"/>
      <c r="AM70" s="136"/>
      <c r="AN70" s="136">
        <v>36.18</v>
      </c>
      <c r="AO70" s="136"/>
    </row>
    <row r="71" spans="1:41" ht="31.5" customHeight="1">
      <c r="A71" s="166">
        <v>3111</v>
      </c>
      <c r="B71" s="2">
        <v>73</v>
      </c>
      <c r="C71" s="2">
        <v>921</v>
      </c>
      <c r="D71" s="8">
        <v>70989</v>
      </c>
      <c r="E71" s="84" t="s">
        <v>27</v>
      </c>
      <c r="F71" s="10"/>
      <c r="G71" s="10">
        <v>3436.7</v>
      </c>
      <c r="H71" s="136"/>
      <c r="I71" s="136">
        <f>'USD 19-21'!J38*69.2</f>
        <v>34081</v>
      </c>
      <c r="J71" s="136"/>
      <c r="K71" s="136"/>
      <c r="L71" s="136"/>
      <c r="M71" s="136">
        <f>'USD 19-21'!L38*72.4</f>
        <v>0</v>
      </c>
      <c r="N71" s="140"/>
      <c r="O71" s="136">
        <f>'USD 19-21'!N38*69.2</f>
        <v>0</v>
      </c>
      <c r="P71" s="136"/>
      <c r="Q71" s="136">
        <v>195.05</v>
      </c>
      <c r="R71" s="136"/>
      <c r="S71" s="136"/>
      <c r="T71" s="136"/>
      <c r="U71" s="136"/>
      <c r="V71" s="136"/>
      <c r="W71" s="136"/>
      <c r="X71" s="136"/>
      <c r="Y71" s="136">
        <v>896.22</v>
      </c>
      <c r="Z71" s="136"/>
      <c r="AA71" s="136"/>
      <c r="AB71" s="136"/>
      <c r="AC71" s="136"/>
      <c r="AD71" s="136"/>
      <c r="AE71" s="136"/>
      <c r="AF71" s="136"/>
      <c r="AG71" s="136">
        <v>1098.65</v>
      </c>
      <c r="AH71" s="136"/>
      <c r="AI71" s="136"/>
      <c r="AJ71" s="136"/>
      <c r="AK71" s="136"/>
      <c r="AL71" s="136"/>
      <c r="AM71" s="136"/>
      <c r="AN71" s="136"/>
      <c r="AO71" s="136">
        <v>558.78</v>
      </c>
    </row>
    <row r="72" spans="1:41" ht="38.25" customHeight="1">
      <c r="A72" s="166">
        <v>3111</v>
      </c>
      <c r="B72" s="2">
        <v>73</v>
      </c>
      <c r="C72" s="2">
        <v>931</v>
      </c>
      <c r="D72" s="8">
        <v>70989</v>
      </c>
      <c r="E72" s="168" t="s">
        <v>39</v>
      </c>
      <c r="F72" s="10"/>
      <c r="G72" s="10">
        <v>2712.7</v>
      </c>
      <c r="H72" s="136"/>
      <c r="I72" s="136">
        <f>'USD 19-21'!J38*69.2</f>
        <v>34081</v>
      </c>
      <c r="J72" s="136"/>
      <c r="K72" s="136"/>
      <c r="L72" s="136"/>
      <c r="M72" s="136">
        <f>'USD 19-21'!L38*72.4</f>
        <v>0</v>
      </c>
      <c r="N72" s="140"/>
      <c r="O72" s="136">
        <f>'USD 19-21'!N38*69.2</f>
        <v>0</v>
      </c>
      <c r="P72" s="136"/>
      <c r="Q72" s="136">
        <v>125.1</v>
      </c>
      <c r="R72" s="136"/>
      <c r="S72" s="136"/>
      <c r="T72" s="136"/>
      <c r="U72" s="136"/>
      <c r="V72" s="136"/>
      <c r="W72" s="136"/>
      <c r="X72" s="136"/>
      <c r="Y72" s="136">
        <v>273.86</v>
      </c>
      <c r="Z72" s="136"/>
      <c r="AA72" s="136"/>
      <c r="AB72" s="136"/>
      <c r="AC72" s="136"/>
      <c r="AD72" s="136"/>
      <c r="AE72" s="136"/>
      <c r="AF72" s="136"/>
      <c r="AG72" s="136">
        <v>511.3</v>
      </c>
      <c r="AH72" s="136"/>
      <c r="AI72" s="136"/>
      <c r="AJ72" s="136"/>
      <c r="AK72" s="136"/>
      <c r="AL72" s="136"/>
      <c r="AM72" s="136"/>
      <c r="AN72" s="136"/>
      <c r="AO72" s="136">
        <v>1358.94</v>
      </c>
    </row>
    <row r="73" spans="1:41" ht="35.25" customHeight="1">
      <c r="A73" s="1">
        <v>3111</v>
      </c>
      <c r="B73" s="2">
        <v>73</v>
      </c>
      <c r="C73" s="2">
        <v>911</v>
      </c>
      <c r="D73" s="8">
        <v>70989</v>
      </c>
      <c r="E73" s="9" t="s">
        <v>170</v>
      </c>
      <c r="F73" s="10"/>
      <c r="G73" s="10"/>
      <c r="H73" s="136" t="e">
        <f>'USD 19-21'!#REF!</f>
        <v>#REF!</v>
      </c>
      <c r="I73" s="136"/>
      <c r="J73" s="136"/>
      <c r="K73" s="136"/>
      <c r="L73" s="136" t="e">
        <f>'USD 19-21'!#REF!*69.2</f>
        <v>#REF!</v>
      </c>
      <c r="M73" s="139"/>
      <c r="N73" s="137"/>
      <c r="O73" s="139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</row>
    <row r="74" spans="1:41" ht="32.25" customHeight="1">
      <c r="A74" s="1">
        <v>3111</v>
      </c>
      <c r="B74" s="2">
        <v>73</v>
      </c>
      <c r="C74" s="2">
        <v>921</v>
      </c>
      <c r="D74" s="8">
        <v>70989</v>
      </c>
      <c r="E74" s="84" t="s">
        <v>171</v>
      </c>
      <c r="F74" s="10"/>
      <c r="G74" s="10"/>
      <c r="H74" s="136"/>
      <c r="I74" s="136" t="e">
        <f>'USD 19-21'!#REF!*69.2</f>
        <v>#REF!</v>
      </c>
      <c r="J74" s="136"/>
      <c r="K74" s="136"/>
      <c r="L74" s="136"/>
      <c r="M74" s="136" t="e">
        <f>'USD 19-21'!#REF!*72.4</f>
        <v>#REF!</v>
      </c>
      <c r="N74" s="140"/>
      <c r="O74" s="136" t="e">
        <f>'USD 19-21'!#REF!*69.2</f>
        <v>#REF!</v>
      </c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</row>
    <row r="75" spans="1:41" ht="37.5" customHeight="1">
      <c r="A75" s="1">
        <v>3111</v>
      </c>
      <c r="B75" s="2">
        <v>73</v>
      </c>
      <c r="C75" s="2">
        <v>931</v>
      </c>
      <c r="D75" s="8">
        <v>70989</v>
      </c>
      <c r="E75" s="168" t="s">
        <v>172</v>
      </c>
      <c r="F75" s="10"/>
      <c r="G75" s="10"/>
      <c r="H75" s="136"/>
      <c r="I75" s="136" t="e">
        <f>'USD 19-21'!#REF!*69.2</f>
        <v>#REF!</v>
      </c>
      <c r="J75" s="136"/>
      <c r="K75" s="136"/>
      <c r="L75" s="136"/>
      <c r="M75" s="136" t="e">
        <f>'USD 19-21'!#REF!*72.4</f>
        <v>#REF!</v>
      </c>
      <c r="N75" s="140"/>
      <c r="O75" s="136" t="e">
        <f>'USD 19-21'!#REF!*69.2</f>
        <v>#REF!</v>
      </c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</row>
    <row r="76" spans="1:41" ht="18" customHeight="1">
      <c r="A76" s="1">
        <v>3111</v>
      </c>
      <c r="B76" s="2">
        <v>73</v>
      </c>
      <c r="C76" s="2">
        <v>931</v>
      </c>
      <c r="D76" s="12">
        <v>70989</v>
      </c>
      <c r="E76" s="168" t="s">
        <v>292</v>
      </c>
      <c r="F76" s="10"/>
      <c r="G76" s="10"/>
      <c r="H76" s="136"/>
      <c r="I76" s="136" t="e">
        <f>'USD 19-21'!#REF!*69.2</f>
        <v>#REF!</v>
      </c>
      <c r="J76" s="136">
        <f aca="true" t="shared" si="7" ref="J76:K78">H76-F76</f>
        <v>0</v>
      </c>
      <c r="K76" s="136" t="e">
        <f t="shared" si="7"/>
        <v>#REF!</v>
      </c>
      <c r="L76" s="136"/>
      <c r="M76" s="136" t="e">
        <f>'USD 19-21'!#REF!*72.4</f>
        <v>#REF!</v>
      </c>
      <c r="N76" s="140"/>
      <c r="O76" s="136" t="e">
        <f>'USD 19-21'!#REF!*69.2</f>
        <v>#REF!</v>
      </c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6"/>
      <c r="AN76" s="136"/>
      <c r="AO76" s="136"/>
    </row>
    <row r="77" spans="2:41" ht="18" customHeight="1">
      <c r="B77" s="2"/>
      <c r="C77" s="2"/>
      <c r="D77" s="2"/>
      <c r="E77" s="119" t="s">
        <v>8</v>
      </c>
      <c r="F77" s="93">
        <f aca="true" t="shared" si="8" ref="F77:O77">F78</f>
        <v>0</v>
      </c>
      <c r="G77" s="93">
        <f t="shared" si="8"/>
        <v>13040</v>
      </c>
      <c r="H77" s="138">
        <f t="shared" si="8"/>
        <v>0</v>
      </c>
      <c r="I77" s="138" t="e">
        <f t="shared" si="8"/>
        <v>#REF!</v>
      </c>
      <c r="J77" s="136">
        <f t="shared" si="7"/>
        <v>0</v>
      </c>
      <c r="K77" s="136" t="e">
        <f t="shared" si="7"/>
        <v>#REF!</v>
      </c>
      <c r="L77" s="138">
        <f t="shared" si="8"/>
        <v>0</v>
      </c>
      <c r="M77" s="138" t="e">
        <f t="shared" si="8"/>
        <v>#REF!</v>
      </c>
      <c r="N77" s="143">
        <f t="shared" si="8"/>
        <v>0</v>
      </c>
      <c r="O77" s="138" t="e">
        <f t="shared" si="8"/>
        <v>#REF!</v>
      </c>
      <c r="P77" s="138"/>
      <c r="Q77" s="138" t="e">
        <f>Q78</f>
        <v>#REF!</v>
      </c>
      <c r="R77" s="138"/>
      <c r="S77" s="138"/>
      <c r="T77" s="138"/>
      <c r="U77" s="138"/>
      <c r="V77" s="138"/>
      <c r="W77" s="138"/>
      <c r="X77" s="138"/>
      <c r="Y77" s="138">
        <f>Y78</f>
        <v>2455</v>
      </c>
      <c r="Z77" s="138"/>
      <c r="AA77" s="138"/>
      <c r="AB77" s="138"/>
      <c r="AC77" s="138"/>
      <c r="AD77" s="138"/>
      <c r="AE77" s="138"/>
      <c r="AF77" s="138"/>
      <c r="AG77" s="138">
        <f>AG78</f>
        <v>2455</v>
      </c>
      <c r="AH77" s="138"/>
      <c r="AI77" s="138"/>
      <c r="AJ77" s="138"/>
      <c r="AK77" s="138"/>
      <c r="AL77" s="138"/>
      <c r="AM77" s="138"/>
      <c r="AN77" s="138"/>
      <c r="AO77" s="138">
        <f>AO78</f>
        <v>2455</v>
      </c>
    </row>
    <row r="78" spans="2:41" ht="18" customHeight="1">
      <c r="B78" s="2"/>
      <c r="C78" s="2"/>
      <c r="D78" s="2"/>
      <c r="E78" s="120" t="s">
        <v>3</v>
      </c>
      <c r="F78" s="94">
        <f>SUM(F80:F86)</f>
        <v>0</v>
      </c>
      <c r="G78" s="94">
        <f>SUM(G80:G87)</f>
        <v>13040</v>
      </c>
      <c r="H78" s="135">
        <f>SUM(H80:H86)</f>
        <v>0</v>
      </c>
      <c r="I78" s="135" t="e">
        <f>SUM(I79:I86)</f>
        <v>#REF!</v>
      </c>
      <c r="J78" s="136">
        <f t="shared" si="7"/>
        <v>0</v>
      </c>
      <c r="K78" s="136" t="e">
        <f t="shared" si="7"/>
        <v>#REF!</v>
      </c>
      <c r="L78" s="135">
        <f>SUM(L80:L86)</f>
        <v>0</v>
      </c>
      <c r="M78" s="135" t="e">
        <f>SUM(M80:M86)</f>
        <v>#REF!</v>
      </c>
      <c r="N78" s="144">
        <f>SUM(N80:N86)</f>
        <v>0</v>
      </c>
      <c r="O78" s="135" t="e">
        <f>SUM(O80:O86)</f>
        <v>#REF!</v>
      </c>
      <c r="P78" s="135"/>
      <c r="Q78" s="135" t="e">
        <f>SUM(Q79:Q86)</f>
        <v>#REF!</v>
      </c>
      <c r="R78" s="135"/>
      <c r="S78" s="135"/>
      <c r="T78" s="135"/>
      <c r="U78" s="135"/>
      <c r="V78" s="135"/>
      <c r="W78" s="135"/>
      <c r="X78" s="135"/>
      <c r="Y78" s="135">
        <f>SUM(Y79:Y86)</f>
        <v>2455</v>
      </c>
      <c r="Z78" s="135"/>
      <c r="AA78" s="135"/>
      <c r="AB78" s="135"/>
      <c r="AC78" s="135"/>
      <c r="AD78" s="135"/>
      <c r="AE78" s="135"/>
      <c r="AF78" s="135"/>
      <c r="AG78" s="135">
        <f>SUM(AG79:AG86)</f>
        <v>2455</v>
      </c>
      <c r="AH78" s="135"/>
      <c r="AI78" s="135"/>
      <c r="AJ78" s="135"/>
      <c r="AK78" s="135"/>
      <c r="AL78" s="135"/>
      <c r="AM78" s="135"/>
      <c r="AN78" s="135"/>
      <c r="AO78" s="135">
        <f>SUM(AO79:AO86)</f>
        <v>2455</v>
      </c>
    </row>
    <row r="79" spans="1:41" ht="18" customHeight="1">
      <c r="A79" s="1">
        <v>3111</v>
      </c>
      <c r="B79" s="2">
        <v>37</v>
      </c>
      <c r="C79" s="2">
        <v>921</v>
      </c>
      <c r="D79" s="8">
        <v>70769</v>
      </c>
      <c r="E79" s="84" t="s">
        <v>210</v>
      </c>
      <c r="F79" s="94"/>
      <c r="G79" s="94"/>
      <c r="H79" s="135"/>
      <c r="I79" s="136" t="e">
        <f>'USD 19-21'!#REF!*69.2</f>
        <v>#REF!</v>
      </c>
      <c r="J79" s="136"/>
      <c r="K79" s="136"/>
      <c r="L79" s="135"/>
      <c r="M79" s="136" t="e">
        <f>'USD 19-21'!#REF!*72.4</f>
        <v>#REF!</v>
      </c>
      <c r="N79" s="144"/>
      <c r="O79" s="136" t="e">
        <f>'USD 19-21'!#REF!*69.2</f>
        <v>#REF!</v>
      </c>
      <c r="P79" s="141"/>
      <c r="Q79" s="136" t="e">
        <f>I79/4</f>
        <v>#REF!</v>
      </c>
      <c r="R79" s="136"/>
      <c r="S79" s="136"/>
      <c r="T79" s="136"/>
      <c r="U79" s="136"/>
      <c r="V79" s="136"/>
      <c r="W79" s="136"/>
      <c r="X79" s="141"/>
      <c r="Y79" s="136">
        <v>500</v>
      </c>
      <c r="Z79" s="136"/>
      <c r="AA79" s="136"/>
      <c r="AB79" s="136"/>
      <c r="AC79" s="136"/>
      <c r="AD79" s="136"/>
      <c r="AE79" s="136"/>
      <c r="AF79" s="141"/>
      <c r="AG79" s="136">
        <v>500</v>
      </c>
      <c r="AH79" s="136"/>
      <c r="AI79" s="136"/>
      <c r="AJ79" s="136"/>
      <c r="AK79" s="136"/>
      <c r="AL79" s="136"/>
      <c r="AM79" s="136"/>
      <c r="AN79" s="136"/>
      <c r="AO79" s="136">
        <v>500</v>
      </c>
    </row>
    <row r="80" spans="1:41" ht="16.5">
      <c r="A80" s="1">
        <v>3111</v>
      </c>
      <c r="B80" s="2">
        <v>37</v>
      </c>
      <c r="C80" s="2">
        <v>921</v>
      </c>
      <c r="D80" s="8">
        <v>70769</v>
      </c>
      <c r="E80" s="84" t="s">
        <v>17</v>
      </c>
      <c r="F80" s="10"/>
      <c r="G80" s="10">
        <v>1100</v>
      </c>
      <c r="H80" s="136"/>
      <c r="I80" s="136">
        <f>'USD 19-21'!J46*69.2</f>
        <v>9342</v>
      </c>
      <c r="J80" s="136"/>
      <c r="K80" s="136"/>
      <c r="L80" s="136"/>
      <c r="M80" s="136">
        <f>'USD 19-21'!L46*72.4</f>
        <v>0</v>
      </c>
      <c r="N80" s="140"/>
      <c r="O80" s="136">
        <f>'USD 19-21'!N46*69.2</f>
        <v>0</v>
      </c>
      <c r="P80" s="141"/>
      <c r="Q80" s="136">
        <f>I80/4</f>
        <v>2335.5</v>
      </c>
      <c r="R80" s="136"/>
      <c r="S80" s="136"/>
      <c r="T80" s="136"/>
      <c r="U80" s="136"/>
      <c r="V80" s="136"/>
      <c r="W80" s="136"/>
      <c r="X80" s="141"/>
      <c r="Y80" s="136">
        <v>275</v>
      </c>
      <c r="Z80" s="136"/>
      <c r="AA80" s="136"/>
      <c r="AB80" s="136"/>
      <c r="AC80" s="136"/>
      <c r="AD80" s="136"/>
      <c r="AE80" s="136"/>
      <c r="AF80" s="141"/>
      <c r="AG80" s="136">
        <v>275</v>
      </c>
      <c r="AH80" s="136"/>
      <c r="AI80" s="136"/>
      <c r="AJ80" s="136"/>
      <c r="AK80" s="136"/>
      <c r="AL80" s="136"/>
      <c r="AM80" s="136"/>
      <c r="AN80" s="136"/>
      <c r="AO80" s="136">
        <v>275</v>
      </c>
    </row>
    <row r="81" spans="1:41" ht="18" customHeight="1">
      <c r="A81" s="1">
        <v>3111</v>
      </c>
      <c r="B81" s="2">
        <v>37</v>
      </c>
      <c r="C81" s="2">
        <v>921</v>
      </c>
      <c r="D81" s="8">
        <v>70769</v>
      </c>
      <c r="E81" s="84" t="s">
        <v>166</v>
      </c>
      <c r="F81" s="10"/>
      <c r="G81" s="10">
        <v>720</v>
      </c>
      <c r="H81" s="136"/>
      <c r="I81" s="136">
        <f>'USD 19-21'!J47*69.2</f>
        <v>5397.6</v>
      </c>
      <c r="J81" s="136"/>
      <c r="K81" s="136"/>
      <c r="L81" s="136"/>
      <c r="M81" s="136">
        <f>'USD 19-21'!L47*72.4</f>
        <v>62046.8</v>
      </c>
      <c r="N81" s="140"/>
      <c r="O81" s="136">
        <f>'USD 19-21'!N47*69.2</f>
        <v>0</v>
      </c>
      <c r="P81" s="141"/>
      <c r="Q81" s="136">
        <f>I81/4</f>
        <v>1349.4</v>
      </c>
      <c r="R81" s="136"/>
      <c r="S81" s="136"/>
      <c r="T81" s="136"/>
      <c r="U81" s="136"/>
      <c r="V81" s="136"/>
      <c r="W81" s="136"/>
      <c r="X81" s="141"/>
      <c r="Y81" s="136">
        <v>180</v>
      </c>
      <c r="Z81" s="136"/>
      <c r="AA81" s="136"/>
      <c r="AB81" s="136"/>
      <c r="AC81" s="136"/>
      <c r="AD81" s="136"/>
      <c r="AE81" s="136"/>
      <c r="AF81" s="141"/>
      <c r="AG81" s="136">
        <v>180</v>
      </c>
      <c r="AH81" s="136"/>
      <c r="AI81" s="136"/>
      <c r="AJ81" s="136"/>
      <c r="AK81" s="136"/>
      <c r="AL81" s="136"/>
      <c r="AM81" s="136"/>
      <c r="AN81" s="141"/>
      <c r="AO81" s="136">
        <v>180</v>
      </c>
    </row>
    <row r="82" spans="1:41" ht="18" customHeight="1">
      <c r="A82" s="1">
        <v>3111</v>
      </c>
      <c r="B82" s="2">
        <v>37</v>
      </c>
      <c r="C82" s="2">
        <v>921</v>
      </c>
      <c r="D82" s="8">
        <v>70769</v>
      </c>
      <c r="E82" s="84" t="s">
        <v>151</v>
      </c>
      <c r="F82" s="10"/>
      <c r="G82" s="10">
        <v>3220</v>
      </c>
      <c r="H82" s="136"/>
      <c r="I82" s="136">
        <f>'USD 19-21'!J49*69.2</f>
        <v>202410</v>
      </c>
      <c r="J82" s="136"/>
      <c r="K82" s="136"/>
      <c r="L82" s="136"/>
      <c r="M82" s="136">
        <f>'USD 19-21'!L49*72.4</f>
        <v>289361.08</v>
      </c>
      <c r="N82" s="140"/>
      <c r="O82" s="136">
        <f>'USD 19-21'!N49*69.2</f>
        <v>0</v>
      </c>
      <c r="P82" s="141"/>
      <c r="Q82" s="136">
        <f>I82/4</f>
        <v>50602.5</v>
      </c>
      <c r="R82" s="136"/>
      <c r="S82" s="136"/>
      <c r="T82" s="136"/>
      <c r="U82" s="136"/>
      <c r="V82" s="136"/>
      <c r="W82" s="136"/>
      <c r="X82" s="141"/>
      <c r="Y82" s="136">
        <v>750</v>
      </c>
      <c r="Z82" s="136"/>
      <c r="AA82" s="136"/>
      <c r="AB82" s="136"/>
      <c r="AC82" s="136"/>
      <c r="AD82" s="136"/>
      <c r="AE82" s="136"/>
      <c r="AF82" s="141"/>
      <c r="AG82" s="136">
        <v>750</v>
      </c>
      <c r="AH82" s="136"/>
      <c r="AI82" s="136"/>
      <c r="AJ82" s="136"/>
      <c r="AK82" s="136"/>
      <c r="AL82" s="136"/>
      <c r="AM82" s="136"/>
      <c r="AN82" s="136"/>
      <c r="AO82" s="136">
        <v>750</v>
      </c>
    </row>
    <row r="83" spans="1:41" ht="18" customHeight="1">
      <c r="A83" s="1">
        <v>3111</v>
      </c>
      <c r="B83" s="2">
        <v>37</v>
      </c>
      <c r="C83" s="2">
        <v>921</v>
      </c>
      <c r="D83" s="8">
        <v>70769</v>
      </c>
      <c r="E83" s="84" t="s">
        <v>220</v>
      </c>
      <c r="F83" s="10"/>
      <c r="G83" s="10"/>
      <c r="H83" s="136"/>
      <c r="I83" s="136" t="e">
        <f>'USD 19-21'!#REF!*69.2</f>
        <v>#REF!</v>
      </c>
      <c r="J83" s="136"/>
      <c r="K83" s="136"/>
      <c r="L83" s="136"/>
      <c r="M83" s="136" t="e">
        <f>'USD 19-21'!#REF!*72.4</f>
        <v>#REF!</v>
      </c>
      <c r="N83" s="140"/>
      <c r="O83" s="136" t="e">
        <f>'USD 19-21'!#REF!*69.2</f>
        <v>#REF!</v>
      </c>
      <c r="P83" s="141"/>
      <c r="Q83" s="136">
        <v>250</v>
      </c>
      <c r="R83" s="136"/>
      <c r="S83" s="136"/>
      <c r="T83" s="136"/>
      <c r="U83" s="136"/>
      <c r="V83" s="139"/>
      <c r="W83" s="140"/>
      <c r="X83" s="141"/>
      <c r="Y83" s="136">
        <v>250</v>
      </c>
      <c r="Z83" s="136"/>
      <c r="AA83" s="136"/>
      <c r="AB83" s="136"/>
      <c r="AC83" s="136"/>
      <c r="AD83" s="136"/>
      <c r="AE83" s="136"/>
      <c r="AF83" s="141"/>
      <c r="AG83" s="136">
        <v>250</v>
      </c>
      <c r="AH83" s="136"/>
      <c r="AI83" s="136"/>
      <c r="AJ83" s="136"/>
      <c r="AK83" s="136"/>
      <c r="AL83" s="136"/>
      <c r="AM83" s="139"/>
      <c r="AN83" s="140"/>
      <c r="AO83" s="136">
        <v>250</v>
      </c>
    </row>
    <row r="84" spans="1:41" ht="18" customHeight="1">
      <c r="A84" s="1">
        <v>3111</v>
      </c>
      <c r="B84" s="2">
        <v>37</v>
      </c>
      <c r="C84" s="2">
        <v>921</v>
      </c>
      <c r="D84" s="8">
        <v>70769</v>
      </c>
      <c r="E84" s="84" t="s">
        <v>167</v>
      </c>
      <c r="F84" s="10"/>
      <c r="G84" s="10">
        <v>2000</v>
      </c>
      <c r="H84" s="136"/>
      <c r="I84" s="136">
        <f>'USD 19-21'!J51*69.2</f>
        <v>554603.4</v>
      </c>
      <c r="J84" s="136"/>
      <c r="K84" s="136"/>
      <c r="L84" s="136"/>
      <c r="M84" s="136">
        <f>'USD 19-21'!L51*72.4</f>
        <v>118156.8</v>
      </c>
      <c r="N84" s="140"/>
      <c r="O84" s="136">
        <f>'USD 19-21'!N51*69.2</f>
        <v>25085</v>
      </c>
      <c r="P84" s="136"/>
      <c r="Q84" s="136">
        <v>500</v>
      </c>
      <c r="R84" s="136"/>
      <c r="S84" s="136"/>
      <c r="T84" s="136"/>
      <c r="U84" s="136"/>
      <c r="V84" s="139"/>
      <c r="W84" s="140"/>
      <c r="X84" s="141"/>
      <c r="Y84" s="136">
        <v>500</v>
      </c>
      <c r="Z84" s="136"/>
      <c r="AA84" s="136"/>
      <c r="AB84" s="136"/>
      <c r="AC84" s="136"/>
      <c r="AD84" s="136"/>
      <c r="AE84" s="136"/>
      <c r="AF84" s="141"/>
      <c r="AG84" s="136">
        <v>500</v>
      </c>
      <c r="AH84" s="136"/>
      <c r="AI84" s="136"/>
      <c r="AJ84" s="136"/>
      <c r="AK84" s="136"/>
      <c r="AL84" s="136"/>
      <c r="AM84" s="139"/>
      <c r="AN84" s="140"/>
      <c r="AO84" s="136">
        <v>500</v>
      </c>
    </row>
    <row r="85" spans="1:41" ht="18" customHeight="1">
      <c r="A85" s="1">
        <v>3111</v>
      </c>
      <c r="B85" s="2">
        <v>37</v>
      </c>
      <c r="C85" s="2">
        <v>921</v>
      </c>
      <c r="D85" s="8">
        <v>70769</v>
      </c>
      <c r="E85" s="84" t="s">
        <v>57</v>
      </c>
      <c r="F85" s="10"/>
      <c r="G85" s="10">
        <v>2500</v>
      </c>
      <c r="H85" s="136"/>
      <c r="I85" s="136" t="e">
        <f>'USD 19-21'!#REF!*69.2</f>
        <v>#REF!</v>
      </c>
      <c r="J85" s="136"/>
      <c r="K85" s="136"/>
      <c r="L85" s="136"/>
      <c r="M85" s="136" t="e">
        <f>'USD 19-21'!#REF!*72.4</f>
        <v>#REF!</v>
      </c>
      <c r="N85" s="140"/>
      <c r="O85" s="136" t="e">
        <f>'USD 19-21'!#REF!*69.2</f>
        <v>#REF!</v>
      </c>
      <c r="P85" s="141"/>
      <c r="Q85" s="136"/>
      <c r="R85" s="136"/>
      <c r="S85" s="136"/>
      <c r="T85" s="136"/>
      <c r="U85" s="136"/>
      <c r="V85" s="136"/>
      <c r="W85" s="136"/>
      <c r="X85" s="141"/>
      <c r="Y85" s="136"/>
      <c r="Z85" s="136"/>
      <c r="AA85" s="136"/>
      <c r="AB85" s="136"/>
      <c r="AC85" s="136"/>
      <c r="AD85" s="136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</row>
    <row r="86" spans="1:41" ht="18" customHeight="1">
      <c r="A86" s="1">
        <v>3111</v>
      </c>
      <c r="B86" s="2">
        <v>37</v>
      </c>
      <c r="C86" s="2">
        <v>921</v>
      </c>
      <c r="D86" s="8">
        <v>70769</v>
      </c>
      <c r="E86" s="84" t="s">
        <v>66</v>
      </c>
      <c r="F86" s="10"/>
      <c r="G86" s="10">
        <v>2500</v>
      </c>
      <c r="H86" s="136"/>
      <c r="I86" s="136" t="e">
        <f>'USD 19-21'!#REF!*69.2</f>
        <v>#REF!</v>
      </c>
      <c r="J86" s="136"/>
      <c r="K86" s="136"/>
      <c r="L86" s="136"/>
      <c r="M86" s="136" t="e">
        <f>'USD 19-21'!#REF!*72.4</f>
        <v>#REF!</v>
      </c>
      <c r="N86" s="140"/>
      <c r="O86" s="136" t="e">
        <f>'USD 19-21'!#REF!*69.2</f>
        <v>#REF!</v>
      </c>
      <c r="P86" s="141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</row>
    <row r="87" spans="1:41" ht="18" customHeight="1">
      <c r="A87" s="1">
        <v>3111</v>
      </c>
      <c r="B87" s="2">
        <v>37</v>
      </c>
      <c r="C87" s="2">
        <v>921</v>
      </c>
      <c r="D87" s="8">
        <v>70769</v>
      </c>
      <c r="E87" s="84" t="s">
        <v>273</v>
      </c>
      <c r="F87" s="10"/>
      <c r="G87" s="10">
        <v>1000</v>
      </c>
      <c r="H87" s="136"/>
      <c r="I87" s="136" t="e">
        <f>'USD 19-21'!#REF!*69.2</f>
        <v>#REF!</v>
      </c>
      <c r="J87" s="136"/>
      <c r="K87" s="136"/>
      <c r="L87" s="136"/>
      <c r="M87" s="136" t="e">
        <f>'USD 19-21'!#REF!*72.4</f>
        <v>#REF!</v>
      </c>
      <c r="N87" s="140"/>
      <c r="O87" s="136" t="e">
        <f>'USD 19-21'!#REF!*69.2</f>
        <v>#REF!</v>
      </c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136"/>
      <c r="AN87" s="136"/>
      <c r="AO87" s="136"/>
    </row>
    <row r="88" spans="1:41" ht="18" customHeight="1">
      <c r="A88" s="1">
        <v>3111</v>
      </c>
      <c r="B88" s="2">
        <v>37</v>
      </c>
      <c r="C88" s="2">
        <v>921</v>
      </c>
      <c r="D88" s="8">
        <v>70769</v>
      </c>
      <c r="E88" s="84" t="s">
        <v>274</v>
      </c>
      <c r="F88" s="10"/>
      <c r="G88" s="10"/>
      <c r="H88" s="136"/>
      <c r="I88" s="136" t="e">
        <f>'USD 19-21'!#REF!*69.2</f>
        <v>#REF!</v>
      </c>
      <c r="J88" s="136"/>
      <c r="K88" s="136"/>
      <c r="L88" s="136"/>
      <c r="M88" s="136" t="e">
        <f>'USD 19-21'!#REF!*72.4</f>
        <v>#REF!</v>
      </c>
      <c r="N88" s="140"/>
      <c r="O88" s="136" t="e">
        <f>'USD 19-21'!#REF!*69.2</f>
        <v>#REF!</v>
      </c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</row>
    <row r="89" spans="1:41" ht="48.75" customHeight="1">
      <c r="A89" s="1">
        <v>3111</v>
      </c>
      <c r="B89" s="2">
        <v>37</v>
      </c>
      <c r="C89" s="2">
        <v>931</v>
      </c>
      <c r="D89" s="8">
        <v>70769</v>
      </c>
      <c r="E89" s="168" t="s">
        <v>291</v>
      </c>
      <c r="F89" s="10"/>
      <c r="G89" s="10">
        <v>1000</v>
      </c>
      <c r="H89" s="136"/>
      <c r="I89" s="136">
        <f>'USD 19-21'!J52*69.2</f>
        <v>77504</v>
      </c>
      <c r="J89" s="136"/>
      <c r="K89" s="136"/>
      <c r="L89" s="136"/>
      <c r="M89" s="136">
        <f>'USD 19-21'!L52*72.4</f>
        <v>1563840.0000000002</v>
      </c>
      <c r="N89" s="140"/>
      <c r="O89" s="136">
        <f>'USD 19-21'!N52*69.2</f>
        <v>484400</v>
      </c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  <c r="AB89" s="136"/>
      <c r="AC89" s="136"/>
      <c r="AD89" s="136"/>
      <c r="AE89" s="136"/>
      <c r="AF89" s="136"/>
      <c r="AG89" s="136"/>
      <c r="AH89" s="136"/>
      <c r="AI89" s="136"/>
      <c r="AJ89" s="136"/>
      <c r="AK89" s="136"/>
      <c r="AL89" s="136"/>
      <c r="AM89" s="136"/>
      <c r="AN89" s="136"/>
      <c r="AO89" s="136"/>
    </row>
    <row r="90" spans="1:41" ht="39.75" customHeight="1">
      <c r="A90" s="1">
        <v>3111</v>
      </c>
      <c r="B90" s="2">
        <v>37</v>
      </c>
      <c r="C90" s="2">
        <v>931</v>
      </c>
      <c r="D90" s="8">
        <v>70769</v>
      </c>
      <c r="E90" s="168" t="s">
        <v>290</v>
      </c>
      <c r="F90" s="10"/>
      <c r="G90" s="10"/>
      <c r="H90" s="136"/>
      <c r="I90" s="136">
        <f>'USD 19-21'!J54*69.2</f>
        <v>69200</v>
      </c>
      <c r="J90" s="136"/>
      <c r="K90" s="136"/>
      <c r="L90" s="136"/>
      <c r="M90" s="136">
        <f>'USD 19-21'!L54*72.4</f>
        <v>144800</v>
      </c>
      <c r="N90" s="140"/>
      <c r="O90" s="136">
        <f>'USD 19-21'!N54*69.2</f>
        <v>1090592</v>
      </c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</row>
    <row r="91" spans="2:41" ht="18" customHeight="1">
      <c r="B91" s="2"/>
      <c r="C91" s="2"/>
      <c r="D91" s="2"/>
      <c r="E91" s="119" t="s">
        <v>16</v>
      </c>
      <c r="F91" s="93">
        <f aca="true" t="shared" si="9" ref="F91:O91">SUM(F92)</f>
        <v>308.16975308641975</v>
      </c>
      <c r="G91" s="93">
        <f t="shared" si="9"/>
        <v>57898.9</v>
      </c>
      <c r="H91" s="138">
        <f t="shared" si="9"/>
        <v>25950.4</v>
      </c>
      <c r="I91" s="138" t="e">
        <f t="shared" si="9"/>
        <v>#REF!</v>
      </c>
      <c r="J91" s="136">
        <f>H91-F91</f>
        <v>25642.230246913583</v>
      </c>
      <c r="K91" s="136" t="e">
        <f>I91-G91</f>
        <v>#REF!</v>
      </c>
      <c r="L91" s="138">
        <f t="shared" si="9"/>
        <v>18139.3</v>
      </c>
      <c r="M91" s="138" t="e">
        <f t="shared" si="9"/>
        <v>#REF!</v>
      </c>
      <c r="N91" s="143">
        <f t="shared" si="9"/>
        <v>0</v>
      </c>
      <c r="O91" s="138" t="e">
        <f t="shared" si="9"/>
        <v>#REF!</v>
      </c>
      <c r="P91" s="138">
        <f>P92</f>
        <v>145.06</v>
      </c>
      <c r="Q91" s="138">
        <f>Q92</f>
        <v>148575.5</v>
      </c>
      <c r="R91" s="138"/>
      <c r="S91" s="138"/>
      <c r="T91" s="138"/>
      <c r="U91" s="138"/>
      <c r="V91" s="138"/>
      <c r="W91" s="138"/>
      <c r="X91" s="138">
        <f>X92</f>
        <v>25805.34</v>
      </c>
      <c r="Y91" s="138">
        <f>Y92</f>
        <v>150843</v>
      </c>
      <c r="Z91" s="138"/>
      <c r="AA91" s="138"/>
      <c r="AB91" s="138"/>
      <c r="AC91" s="138"/>
      <c r="AD91" s="138"/>
      <c r="AE91" s="138"/>
      <c r="AF91" s="138">
        <f>AF92</f>
        <v>0</v>
      </c>
      <c r="AG91" s="138">
        <f>AG92</f>
        <v>154623</v>
      </c>
      <c r="AH91" s="138"/>
      <c r="AI91" s="138"/>
      <c r="AJ91" s="138"/>
      <c r="AK91" s="138"/>
      <c r="AL91" s="138"/>
      <c r="AM91" s="138"/>
      <c r="AN91" s="138">
        <f>AN92</f>
        <v>0</v>
      </c>
      <c r="AO91" s="138">
        <f>AO92</f>
        <v>154925.9</v>
      </c>
    </row>
    <row r="92" spans="2:41" ht="18" customHeight="1">
      <c r="B92" s="2"/>
      <c r="C92" s="2"/>
      <c r="D92" s="2"/>
      <c r="E92" s="120" t="s">
        <v>3</v>
      </c>
      <c r="F92" s="94">
        <f>SUM(F93:F112)</f>
        <v>308.16975308641975</v>
      </c>
      <c r="G92" s="94">
        <f>SUM(G93:G112)</f>
        <v>57898.9</v>
      </c>
      <c r="H92" s="135">
        <f>SUM(H93:H112)</f>
        <v>25950.4</v>
      </c>
      <c r="I92" s="135" t="e">
        <f>SUM(I93:I112)</f>
        <v>#REF!</v>
      </c>
      <c r="J92" s="136">
        <f>H92-F92</f>
        <v>25642.230246913583</v>
      </c>
      <c r="K92" s="136" t="e">
        <f>I92-G92</f>
        <v>#REF!</v>
      </c>
      <c r="L92" s="135">
        <f aca="true" t="shared" si="10" ref="L92:Q92">SUM(L93:L112)</f>
        <v>18139.3</v>
      </c>
      <c r="M92" s="135" t="e">
        <f t="shared" si="10"/>
        <v>#REF!</v>
      </c>
      <c r="N92" s="144">
        <f t="shared" si="10"/>
        <v>0</v>
      </c>
      <c r="O92" s="135" t="e">
        <f t="shared" si="10"/>
        <v>#REF!</v>
      </c>
      <c r="P92" s="135">
        <f t="shared" si="10"/>
        <v>145.06</v>
      </c>
      <c r="Q92" s="135">
        <f t="shared" si="10"/>
        <v>148575.5</v>
      </c>
      <c r="R92" s="136"/>
      <c r="S92" s="136"/>
      <c r="T92" s="136"/>
      <c r="U92" s="136"/>
      <c r="V92" s="136"/>
      <c r="W92" s="136"/>
      <c r="X92" s="135">
        <f>SUM(X93:X112)</f>
        <v>25805.34</v>
      </c>
      <c r="Y92" s="135">
        <f>SUM(Y93:Y112)</f>
        <v>150843</v>
      </c>
      <c r="Z92" s="136"/>
      <c r="AA92" s="136"/>
      <c r="AB92" s="136"/>
      <c r="AC92" s="136"/>
      <c r="AD92" s="136"/>
      <c r="AE92" s="136"/>
      <c r="AF92" s="135">
        <f>SUM(AF93:AF112)</f>
        <v>0</v>
      </c>
      <c r="AG92" s="135">
        <f>SUM(AG93:AG112)</f>
        <v>154623</v>
      </c>
      <c r="AH92" s="136"/>
      <c r="AI92" s="136"/>
      <c r="AJ92" s="136"/>
      <c r="AK92" s="136"/>
      <c r="AL92" s="136"/>
      <c r="AM92" s="136"/>
      <c r="AN92" s="135">
        <f>SUM(AN93:AN112)</f>
        <v>0</v>
      </c>
      <c r="AO92" s="135">
        <f>SUM(AO93:AO112)</f>
        <v>154925.9</v>
      </c>
    </row>
    <row r="93" spans="1:41" ht="18" customHeight="1">
      <c r="A93" s="166">
        <v>3111</v>
      </c>
      <c r="B93" s="2">
        <v>41</v>
      </c>
      <c r="C93" s="2">
        <v>911</v>
      </c>
      <c r="D93" s="8">
        <v>70499</v>
      </c>
      <c r="E93" s="9" t="s">
        <v>50</v>
      </c>
      <c r="F93" s="10">
        <f>'KGS 16-18'!F91/64.8</f>
        <v>137.25925925925927</v>
      </c>
      <c r="G93" s="10"/>
      <c r="H93" s="136">
        <v>15450.4</v>
      </c>
      <c r="I93" s="136"/>
      <c r="J93" s="136"/>
      <c r="K93" s="136"/>
      <c r="L93" s="136">
        <v>13537</v>
      </c>
      <c r="M93" s="139"/>
      <c r="N93" s="137"/>
      <c r="O93" s="139"/>
      <c r="P93" s="136">
        <v>83.34</v>
      </c>
      <c r="Q93" s="136"/>
      <c r="R93" s="136"/>
      <c r="S93" s="136"/>
      <c r="T93" s="136"/>
      <c r="U93" s="136"/>
      <c r="V93" s="136"/>
      <c r="W93" s="136"/>
      <c r="X93" s="136">
        <f>H93-P93</f>
        <v>15367.06</v>
      </c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136"/>
      <c r="AN93" s="136"/>
      <c r="AO93" s="136"/>
    </row>
    <row r="94" spans="1:41" ht="18" customHeight="1">
      <c r="A94" s="166">
        <v>3111</v>
      </c>
      <c r="B94" s="2">
        <v>41</v>
      </c>
      <c r="C94" s="2">
        <v>921</v>
      </c>
      <c r="D94" s="8">
        <v>70499</v>
      </c>
      <c r="E94" s="84" t="s">
        <v>51</v>
      </c>
      <c r="F94" s="10"/>
      <c r="G94" s="10">
        <f>1555.7+948</f>
        <v>2503.7</v>
      </c>
      <c r="H94" s="136"/>
      <c r="I94" s="136" t="e">
        <f>'USD 19-21'!#REF!*69.2</f>
        <v>#REF!</v>
      </c>
      <c r="J94" s="136"/>
      <c r="K94" s="136"/>
      <c r="L94" s="132"/>
      <c r="M94" s="136" t="e">
        <f>'USD 19-21'!#REF!*72.4</f>
        <v>#REF!</v>
      </c>
      <c r="N94" s="140"/>
      <c r="O94" s="139"/>
      <c r="P94" s="136"/>
      <c r="Q94" s="136">
        <v>732</v>
      </c>
      <c r="R94" s="136"/>
      <c r="S94" s="136"/>
      <c r="T94" s="136"/>
      <c r="U94" s="136"/>
      <c r="V94" s="136"/>
      <c r="W94" s="136"/>
      <c r="X94" s="136"/>
      <c r="Y94" s="136">
        <v>734</v>
      </c>
      <c r="Z94" s="136"/>
      <c r="AA94" s="136"/>
      <c r="AB94" s="136"/>
      <c r="AC94" s="136"/>
      <c r="AD94" s="136"/>
      <c r="AE94" s="136"/>
      <c r="AF94" s="136"/>
      <c r="AG94" s="136">
        <v>734</v>
      </c>
      <c r="AH94" s="136"/>
      <c r="AI94" s="136"/>
      <c r="AJ94" s="136"/>
      <c r="AK94" s="136"/>
      <c r="AL94" s="136"/>
      <c r="AM94" s="136"/>
      <c r="AN94" s="136"/>
      <c r="AO94" s="136">
        <v>774.7</v>
      </c>
    </row>
    <row r="95" spans="1:41" ht="18" customHeight="1">
      <c r="A95" s="166">
        <v>3111</v>
      </c>
      <c r="B95" s="2">
        <v>41</v>
      </c>
      <c r="C95" s="2">
        <v>931</v>
      </c>
      <c r="D95" s="8">
        <v>70499</v>
      </c>
      <c r="E95" s="168" t="s">
        <v>52</v>
      </c>
      <c r="F95" s="10"/>
      <c r="G95" s="10">
        <f>400.9+3034</f>
        <v>3434.9</v>
      </c>
      <c r="H95" s="136"/>
      <c r="I95" s="136" t="e">
        <f>'USD 19-21'!#REF!*69.2</f>
        <v>#REF!</v>
      </c>
      <c r="J95" s="136"/>
      <c r="K95" s="136"/>
      <c r="L95" s="132"/>
      <c r="M95" s="136" t="e">
        <f>'USD 19-21'!#REF!*72.4</f>
        <v>#REF!</v>
      </c>
      <c r="N95" s="140"/>
      <c r="O95" s="139"/>
      <c r="P95" s="136"/>
      <c r="Q95" s="136">
        <v>932</v>
      </c>
      <c r="R95" s="136"/>
      <c r="S95" s="136"/>
      <c r="T95" s="136"/>
      <c r="U95" s="136"/>
      <c r="V95" s="136"/>
      <c r="W95" s="136"/>
      <c r="X95" s="136"/>
      <c r="Y95" s="136">
        <v>934</v>
      </c>
      <c r="Z95" s="136"/>
      <c r="AA95" s="136"/>
      <c r="AB95" s="136"/>
      <c r="AC95" s="136"/>
      <c r="AD95" s="136"/>
      <c r="AE95" s="136"/>
      <c r="AF95" s="136"/>
      <c r="AG95" s="136">
        <v>934</v>
      </c>
      <c r="AH95" s="136"/>
      <c r="AI95" s="136"/>
      <c r="AJ95" s="136"/>
      <c r="AK95" s="136"/>
      <c r="AL95" s="136"/>
      <c r="AM95" s="136"/>
      <c r="AN95" s="136"/>
      <c r="AO95" s="136">
        <v>944.9</v>
      </c>
    </row>
    <row r="96" spans="1:41" ht="18" customHeight="1">
      <c r="A96" s="166">
        <v>3111</v>
      </c>
      <c r="B96" s="2">
        <v>41</v>
      </c>
      <c r="C96" s="2">
        <v>911</v>
      </c>
      <c r="D96" s="8">
        <v>70499</v>
      </c>
      <c r="E96" s="9" t="s">
        <v>92</v>
      </c>
      <c r="F96" s="10">
        <f>'KGS 16-18'!F94/64.8</f>
        <v>170.9104938271605</v>
      </c>
      <c r="G96" s="10"/>
      <c r="H96" s="136">
        <v>10500</v>
      </c>
      <c r="I96" s="136"/>
      <c r="J96" s="136"/>
      <c r="K96" s="136"/>
      <c r="L96" s="136">
        <v>4602.3</v>
      </c>
      <c r="M96" s="139"/>
      <c r="N96" s="137"/>
      <c r="O96" s="139"/>
      <c r="P96" s="136">
        <v>61.72</v>
      </c>
      <c r="Q96" s="136"/>
      <c r="R96" s="136"/>
      <c r="S96" s="136"/>
      <c r="T96" s="136"/>
      <c r="U96" s="136"/>
      <c r="V96" s="136"/>
      <c r="W96" s="136"/>
      <c r="X96" s="136">
        <f>H96-P96</f>
        <v>10438.28</v>
      </c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</row>
    <row r="97" spans="1:41" ht="18" customHeight="1">
      <c r="A97" s="166">
        <v>3111</v>
      </c>
      <c r="B97" s="2">
        <v>41</v>
      </c>
      <c r="C97" s="2">
        <v>921</v>
      </c>
      <c r="D97" s="8">
        <v>70499</v>
      </c>
      <c r="E97" s="84" t="s">
        <v>223</v>
      </c>
      <c r="F97" s="10"/>
      <c r="G97" s="10">
        <f>1264+2451+3659</f>
        <v>7374</v>
      </c>
      <c r="H97" s="136"/>
      <c r="I97" s="136">
        <f>'USD 19-21'!J59*69.2</f>
        <v>115979.20000000001</v>
      </c>
      <c r="J97" s="136"/>
      <c r="K97" s="136"/>
      <c r="L97" s="132"/>
      <c r="M97" s="136">
        <f>'USD 19-21'!L59*72.4</f>
        <v>0</v>
      </c>
      <c r="N97" s="140"/>
      <c r="O97" s="139"/>
      <c r="P97" s="136"/>
      <c r="Q97" s="136">
        <v>932</v>
      </c>
      <c r="R97" s="136"/>
      <c r="S97" s="136"/>
      <c r="T97" s="136"/>
      <c r="U97" s="136"/>
      <c r="V97" s="136"/>
      <c r="W97" s="136"/>
      <c r="X97" s="136"/>
      <c r="Y97" s="136">
        <v>934</v>
      </c>
      <c r="Z97" s="136"/>
      <c r="AA97" s="136"/>
      <c r="AB97" s="136"/>
      <c r="AC97" s="136"/>
      <c r="AD97" s="136"/>
      <c r="AE97" s="136"/>
      <c r="AF97" s="136"/>
      <c r="AG97" s="136">
        <v>934</v>
      </c>
      <c r="AH97" s="136"/>
      <c r="AI97" s="136"/>
      <c r="AJ97" s="136"/>
      <c r="AK97" s="136"/>
      <c r="AL97" s="136"/>
      <c r="AM97" s="136"/>
      <c r="AN97" s="136"/>
      <c r="AO97" s="136">
        <v>966.5</v>
      </c>
    </row>
    <row r="98" spans="1:41" ht="18" customHeight="1">
      <c r="A98" s="166">
        <v>3111</v>
      </c>
      <c r="B98" s="2">
        <v>41</v>
      </c>
      <c r="C98" s="2">
        <v>921</v>
      </c>
      <c r="D98" s="8">
        <v>70499</v>
      </c>
      <c r="E98" s="84" t="s">
        <v>224</v>
      </c>
      <c r="F98" s="10"/>
      <c r="G98" s="10"/>
      <c r="H98" s="136"/>
      <c r="I98" s="136">
        <f>'USD 19-21'!J60*69.2</f>
        <v>6920</v>
      </c>
      <c r="J98" s="136"/>
      <c r="K98" s="136"/>
      <c r="L98" s="132"/>
      <c r="M98" s="136">
        <f>'USD 19-21'!L60*72.4</f>
        <v>0</v>
      </c>
      <c r="N98" s="140"/>
      <c r="O98" s="139"/>
      <c r="P98" s="136"/>
      <c r="Q98" s="136">
        <v>500</v>
      </c>
      <c r="R98" s="136"/>
      <c r="S98" s="136"/>
      <c r="T98" s="136"/>
      <c r="U98" s="136"/>
      <c r="V98" s="136"/>
      <c r="W98" s="136"/>
      <c r="X98" s="136"/>
      <c r="Y98" s="136">
        <v>500</v>
      </c>
      <c r="Z98" s="136"/>
      <c r="AA98" s="136"/>
      <c r="AB98" s="136"/>
      <c r="AC98" s="136"/>
      <c r="AD98" s="136"/>
      <c r="AE98" s="136"/>
      <c r="AF98" s="136"/>
      <c r="AG98" s="136">
        <v>500</v>
      </c>
      <c r="AH98" s="136"/>
      <c r="AI98" s="136"/>
      <c r="AJ98" s="136"/>
      <c r="AK98" s="136"/>
      <c r="AL98" s="136"/>
      <c r="AM98" s="136"/>
      <c r="AN98" s="136"/>
      <c r="AO98" s="136">
        <v>500</v>
      </c>
    </row>
    <row r="99" spans="1:41" ht="18" customHeight="1">
      <c r="A99" s="166">
        <v>3111</v>
      </c>
      <c r="B99" s="2">
        <v>41</v>
      </c>
      <c r="C99" s="2">
        <v>931</v>
      </c>
      <c r="D99" s="8">
        <v>70499</v>
      </c>
      <c r="E99" s="168" t="s">
        <v>93</v>
      </c>
      <c r="F99" s="10"/>
      <c r="G99" s="10">
        <f>145+3745</f>
        <v>3890</v>
      </c>
      <c r="H99" s="136"/>
      <c r="I99" s="136">
        <f>'USD 19-21'!J61*69.2</f>
        <v>6920</v>
      </c>
      <c r="J99" s="136"/>
      <c r="K99" s="136"/>
      <c r="L99" s="132"/>
      <c r="M99" s="136">
        <f>'USD 19-21'!L61*72.4</f>
        <v>0</v>
      </c>
      <c r="N99" s="140"/>
      <c r="O99" s="139"/>
      <c r="P99" s="136"/>
      <c r="Q99" s="136">
        <v>1166</v>
      </c>
      <c r="R99" s="136"/>
      <c r="S99" s="136"/>
      <c r="T99" s="136"/>
      <c r="U99" s="136"/>
      <c r="V99" s="136"/>
      <c r="W99" s="136"/>
      <c r="X99" s="136"/>
      <c r="Y99" s="136">
        <v>1167</v>
      </c>
      <c r="Z99" s="136"/>
      <c r="AA99" s="136"/>
      <c r="AB99" s="136"/>
      <c r="AC99" s="136"/>
      <c r="AD99" s="136"/>
      <c r="AE99" s="136"/>
      <c r="AF99" s="136"/>
      <c r="AG99" s="136">
        <v>1167</v>
      </c>
      <c r="AH99" s="136"/>
      <c r="AI99" s="136"/>
      <c r="AJ99" s="136"/>
      <c r="AK99" s="136"/>
      <c r="AL99" s="136"/>
      <c r="AM99" s="136"/>
      <c r="AN99" s="136"/>
      <c r="AO99" s="136">
        <v>1171</v>
      </c>
    </row>
    <row r="100" spans="2:41" ht="16.5">
      <c r="B100" s="2"/>
      <c r="C100" s="2"/>
      <c r="D100" s="8"/>
      <c r="E100" s="9"/>
      <c r="F100" s="10"/>
      <c r="G100" s="10"/>
      <c r="H100" s="136"/>
      <c r="I100" s="136"/>
      <c r="J100" s="136"/>
      <c r="K100" s="136"/>
      <c r="L100" s="136"/>
      <c r="M100" s="136"/>
      <c r="N100" s="140"/>
      <c r="O100" s="139"/>
      <c r="P100" s="136"/>
      <c r="Q100" s="136">
        <v>600</v>
      </c>
      <c r="R100" s="136"/>
      <c r="S100" s="136"/>
      <c r="T100" s="136"/>
      <c r="U100" s="136"/>
      <c r="V100" s="136"/>
      <c r="W100" s="136"/>
      <c r="X100" s="136"/>
      <c r="Y100" s="136">
        <v>600</v>
      </c>
      <c r="Z100" s="136"/>
      <c r="AA100" s="136"/>
      <c r="AB100" s="136"/>
      <c r="AC100" s="136"/>
      <c r="AD100" s="136"/>
      <c r="AE100" s="136"/>
      <c r="AF100" s="136"/>
      <c r="AG100" s="136">
        <v>600</v>
      </c>
      <c r="AH100" s="136"/>
      <c r="AI100" s="136"/>
      <c r="AJ100" s="136"/>
      <c r="AK100" s="136"/>
      <c r="AL100" s="136"/>
      <c r="AM100" s="136"/>
      <c r="AN100" s="136"/>
      <c r="AO100" s="136">
        <v>636.3</v>
      </c>
    </row>
    <row r="101" spans="1:41" ht="50.25" customHeight="1">
      <c r="A101" s="166">
        <v>3111</v>
      </c>
      <c r="B101" s="2">
        <v>41</v>
      </c>
      <c r="C101" s="2">
        <v>921</v>
      </c>
      <c r="D101" s="8">
        <v>70499</v>
      </c>
      <c r="E101" s="84" t="s">
        <v>76</v>
      </c>
      <c r="F101" s="10"/>
      <c r="G101" s="10">
        <v>8200</v>
      </c>
      <c r="H101" s="136"/>
      <c r="I101" s="136">
        <f>'USD 19-21'!J65*69.2</f>
        <v>449800</v>
      </c>
      <c r="J101" s="136"/>
      <c r="K101" s="136"/>
      <c r="L101" s="136"/>
      <c r="M101" s="136">
        <f>'USD 19-21'!L65*72.4</f>
        <v>724000</v>
      </c>
      <c r="N101" s="140"/>
      <c r="O101" s="136">
        <f>'USD 19-21'!N65*69.2</f>
        <v>726600</v>
      </c>
      <c r="P101" s="136"/>
      <c r="Q101" s="136">
        <v>1200</v>
      </c>
      <c r="R101" s="136"/>
      <c r="S101" s="136"/>
      <c r="T101" s="136"/>
      <c r="U101" s="136"/>
      <c r="V101" s="136"/>
      <c r="W101" s="136"/>
      <c r="X101" s="136"/>
      <c r="Y101" s="136">
        <v>2000</v>
      </c>
      <c r="Z101" s="136"/>
      <c r="AA101" s="136"/>
      <c r="AB101" s="136"/>
      <c r="AC101" s="136"/>
      <c r="AD101" s="136"/>
      <c r="AE101" s="136"/>
      <c r="AF101" s="136"/>
      <c r="AG101" s="136">
        <v>2500</v>
      </c>
      <c r="AH101" s="136"/>
      <c r="AI101" s="136"/>
      <c r="AJ101" s="136"/>
      <c r="AK101" s="136"/>
      <c r="AL101" s="136"/>
      <c r="AM101" s="136"/>
      <c r="AN101" s="136"/>
      <c r="AO101" s="136">
        <v>2500</v>
      </c>
    </row>
    <row r="102" spans="1:41" ht="33">
      <c r="A102" s="166">
        <v>3111</v>
      </c>
      <c r="B102" s="2">
        <v>41</v>
      </c>
      <c r="C102" s="2">
        <v>921</v>
      </c>
      <c r="D102" s="8">
        <v>70499</v>
      </c>
      <c r="E102" s="84" t="s">
        <v>180</v>
      </c>
      <c r="F102" s="10"/>
      <c r="G102" s="10">
        <v>4348</v>
      </c>
      <c r="H102" s="136"/>
      <c r="I102" s="136" t="e">
        <f>'USD 19-21'!#REF!*69.2</f>
        <v>#REF!</v>
      </c>
      <c r="J102" s="136"/>
      <c r="K102" s="136"/>
      <c r="L102" s="136"/>
      <c r="M102" s="136" t="e">
        <f>'USD 19-21'!#REF!*72.4</f>
        <v>#REF!</v>
      </c>
      <c r="N102" s="140"/>
      <c r="O102" s="136" t="e">
        <f>'USD 19-21'!#REF!*69.2</f>
        <v>#REF!</v>
      </c>
      <c r="P102" s="136"/>
      <c r="Q102" s="136">
        <v>1000</v>
      </c>
      <c r="R102" s="136"/>
      <c r="S102" s="136"/>
      <c r="T102" s="136"/>
      <c r="U102" s="136"/>
      <c r="V102" s="136"/>
      <c r="W102" s="136"/>
      <c r="X102" s="136"/>
      <c r="Y102" s="136">
        <v>1000</v>
      </c>
      <c r="Z102" s="136"/>
      <c r="AA102" s="136"/>
      <c r="AB102" s="136"/>
      <c r="AC102" s="136"/>
      <c r="AD102" s="136"/>
      <c r="AE102" s="136"/>
      <c r="AF102" s="136"/>
      <c r="AG102" s="136">
        <v>1000</v>
      </c>
      <c r="AH102" s="136"/>
      <c r="AI102" s="136"/>
      <c r="AJ102" s="136"/>
      <c r="AK102" s="136"/>
      <c r="AL102" s="136"/>
      <c r="AM102" s="136"/>
      <c r="AN102" s="136"/>
      <c r="AO102" s="136">
        <v>1348</v>
      </c>
    </row>
    <row r="103" spans="1:41" ht="16.5">
      <c r="A103" s="1">
        <v>3111</v>
      </c>
      <c r="B103" s="2">
        <v>41</v>
      </c>
      <c r="C103" s="2">
        <v>921</v>
      </c>
      <c r="D103" s="8">
        <v>70499</v>
      </c>
      <c r="E103" s="9" t="s">
        <v>135</v>
      </c>
      <c r="F103" s="10"/>
      <c r="G103" s="10">
        <v>1000</v>
      </c>
      <c r="H103" s="136"/>
      <c r="I103" s="136" t="e">
        <f>'USD 19-21'!#REF!*69.2</f>
        <v>#REF!</v>
      </c>
      <c r="J103" s="136"/>
      <c r="K103" s="136"/>
      <c r="L103" s="136"/>
      <c r="M103" s="136" t="e">
        <f>'USD 19-21'!#REF!*72.4</f>
        <v>#REF!</v>
      </c>
      <c r="N103" s="140"/>
      <c r="O103" s="136" t="e">
        <f>'USD 19-21'!#REF!*69.2</f>
        <v>#REF!</v>
      </c>
      <c r="P103" s="136"/>
      <c r="Q103" s="136">
        <v>194.5</v>
      </c>
      <c r="R103" s="136"/>
      <c r="S103" s="136"/>
      <c r="T103" s="136"/>
      <c r="U103" s="136"/>
      <c r="V103" s="136"/>
      <c r="W103" s="136"/>
      <c r="X103" s="136"/>
      <c r="Y103" s="136">
        <v>305</v>
      </c>
      <c r="Z103" s="136"/>
      <c r="AA103" s="136"/>
      <c r="AB103" s="136"/>
      <c r="AC103" s="136"/>
      <c r="AD103" s="136"/>
      <c r="AE103" s="136"/>
      <c r="AF103" s="136"/>
      <c r="AG103" s="136">
        <v>235</v>
      </c>
      <c r="AH103" s="136"/>
      <c r="AI103" s="136"/>
      <c r="AJ103" s="136"/>
      <c r="AK103" s="136"/>
      <c r="AL103" s="136"/>
      <c r="AM103" s="136"/>
      <c r="AN103" s="136"/>
      <c r="AO103" s="136">
        <v>265.5</v>
      </c>
    </row>
    <row r="104" spans="1:41" ht="33">
      <c r="A104" s="1">
        <v>3111</v>
      </c>
      <c r="B104" s="2">
        <v>41</v>
      </c>
      <c r="C104" s="2">
        <v>921</v>
      </c>
      <c r="D104" s="8">
        <v>70499</v>
      </c>
      <c r="E104" s="84" t="s">
        <v>168</v>
      </c>
      <c r="F104" s="10"/>
      <c r="G104" s="10">
        <v>4000</v>
      </c>
      <c r="H104" s="136"/>
      <c r="I104" s="136" t="e">
        <f>'USD 19-21'!#REF!*69.2</f>
        <v>#REF!</v>
      </c>
      <c r="J104" s="136"/>
      <c r="K104" s="136"/>
      <c r="L104" s="136"/>
      <c r="M104" s="136" t="e">
        <f>'USD 19-21'!#REF!*72.4</f>
        <v>#REF!</v>
      </c>
      <c r="N104" s="140"/>
      <c r="O104" s="136" t="e">
        <f>'USD 19-21'!#REF!*69.2</f>
        <v>#REF!</v>
      </c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6">
        <v>2000</v>
      </c>
      <c r="AH104" s="136"/>
      <c r="AI104" s="136"/>
      <c r="AJ104" s="136"/>
      <c r="AK104" s="136"/>
      <c r="AL104" s="136"/>
      <c r="AM104" s="136"/>
      <c r="AN104" s="136"/>
      <c r="AO104" s="136">
        <v>2000</v>
      </c>
    </row>
    <row r="105" spans="1:41" ht="17.25" customHeight="1">
      <c r="A105" s="1">
        <v>3111</v>
      </c>
      <c r="B105" s="2">
        <v>41</v>
      </c>
      <c r="C105" s="2">
        <v>931</v>
      </c>
      <c r="D105" s="8">
        <v>70499</v>
      </c>
      <c r="E105" s="168" t="s">
        <v>169</v>
      </c>
      <c r="F105" s="10"/>
      <c r="G105" s="10">
        <v>2000</v>
      </c>
      <c r="H105" s="136"/>
      <c r="I105" s="136" t="e">
        <f>'USD 19-21'!#REF!*69.2</f>
        <v>#REF!</v>
      </c>
      <c r="J105" s="136"/>
      <c r="K105" s="136"/>
      <c r="L105" s="136"/>
      <c r="M105" s="136" t="e">
        <f>'USD 19-21'!#REF!*72.4</f>
        <v>#REF!</v>
      </c>
      <c r="N105" s="140"/>
      <c r="O105" s="136" t="e">
        <f>'USD 19-21'!#REF!*69.2</f>
        <v>#REF!</v>
      </c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  <c r="AE105" s="135"/>
      <c r="AF105" s="135"/>
      <c r="AG105" s="136">
        <v>1000</v>
      </c>
      <c r="AH105" s="136"/>
      <c r="AI105" s="136"/>
      <c r="AJ105" s="136"/>
      <c r="AK105" s="136"/>
      <c r="AL105" s="136"/>
      <c r="AM105" s="136"/>
      <c r="AN105" s="136"/>
      <c r="AO105" s="136">
        <v>1000</v>
      </c>
    </row>
    <row r="106" spans="1:41" ht="17.25" customHeight="1">
      <c r="A106" s="1">
        <v>3111</v>
      </c>
      <c r="B106" s="2">
        <v>41</v>
      </c>
      <c r="C106" s="2">
        <v>910</v>
      </c>
      <c r="D106" s="8">
        <v>70499</v>
      </c>
      <c r="E106" s="9" t="s">
        <v>293</v>
      </c>
      <c r="F106" s="10"/>
      <c r="G106" s="10"/>
      <c r="H106" s="136"/>
      <c r="I106" s="136"/>
      <c r="J106" s="136"/>
      <c r="K106" s="136"/>
      <c r="L106" s="136"/>
      <c r="M106" s="136"/>
      <c r="N106" s="140"/>
      <c r="O106" s="136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  <c r="AE106" s="135"/>
      <c r="AF106" s="135"/>
      <c r="AG106" s="136"/>
      <c r="AH106" s="136"/>
      <c r="AI106" s="136"/>
      <c r="AJ106" s="136"/>
      <c r="AK106" s="136"/>
      <c r="AL106" s="136"/>
      <c r="AM106" s="136"/>
      <c r="AN106" s="136"/>
      <c r="AO106" s="136"/>
    </row>
    <row r="107" spans="1:41" ht="18" customHeight="1">
      <c r="A107" s="1">
        <v>3111</v>
      </c>
      <c r="B107" s="2">
        <v>41</v>
      </c>
      <c r="C107" s="2">
        <v>921</v>
      </c>
      <c r="D107" s="8">
        <v>70499</v>
      </c>
      <c r="E107" s="194" t="s">
        <v>55</v>
      </c>
      <c r="F107" s="10"/>
      <c r="G107" s="10">
        <v>800</v>
      </c>
      <c r="H107" s="136"/>
      <c r="I107" s="136" t="e">
        <f>'USD 19-21'!#REF!*69.2</f>
        <v>#REF!</v>
      </c>
      <c r="J107" s="136"/>
      <c r="K107" s="136"/>
      <c r="L107" s="136"/>
      <c r="M107" s="136" t="e">
        <f>'USD 19-21'!#REF!*72.4</f>
        <v>#REF!</v>
      </c>
      <c r="N107" s="140"/>
      <c r="O107" s="136" t="e">
        <f>'USD 19-21'!#REF!*69.2</f>
        <v>#REF!</v>
      </c>
      <c r="P107" s="136"/>
      <c r="Q107" s="136">
        <v>100</v>
      </c>
      <c r="R107" s="136"/>
      <c r="S107" s="136"/>
      <c r="T107" s="136"/>
      <c r="U107" s="136"/>
      <c r="V107" s="136"/>
      <c r="W107" s="136"/>
      <c r="X107" s="136"/>
      <c r="Y107" s="136">
        <v>150</v>
      </c>
      <c r="Z107" s="136"/>
      <c r="AA107" s="136"/>
      <c r="AB107" s="136"/>
      <c r="AC107" s="136"/>
      <c r="AD107" s="136"/>
      <c r="AE107" s="136"/>
      <c r="AF107" s="136"/>
      <c r="AG107" s="136">
        <v>350</v>
      </c>
      <c r="AH107" s="136"/>
      <c r="AI107" s="136"/>
      <c r="AJ107" s="136"/>
      <c r="AK107" s="136"/>
      <c r="AL107" s="136"/>
      <c r="AM107" s="136"/>
      <c r="AN107" s="136"/>
      <c r="AO107" s="136">
        <v>200</v>
      </c>
    </row>
    <row r="108" spans="1:41" ht="18" customHeight="1">
      <c r="A108" s="1">
        <v>3111</v>
      </c>
      <c r="B108" s="2">
        <v>41</v>
      </c>
      <c r="C108" s="2">
        <v>931</v>
      </c>
      <c r="D108" s="8">
        <v>70499</v>
      </c>
      <c r="E108" s="195" t="s">
        <v>56</v>
      </c>
      <c r="F108" s="10"/>
      <c r="G108" s="10">
        <v>1000</v>
      </c>
      <c r="H108" s="136"/>
      <c r="I108" s="136" t="e">
        <f>'USD 19-21'!#REF!*69.2</f>
        <v>#REF!</v>
      </c>
      <c r="J108" s="136"/>
      <c r="K108" s="136"/>
      <c r="L108" s="136"/>
      <c r="M108" s="136" t="e">
        <f>'USD 19-21'!#REF!*72.4</f>
        <v>#REF!</v>
      </c>
      <c r="N108" s="140"/>
      <c r="O108" s="136" t="e">
        <f>'USD 19-21'!#REF!*69.2</f>
        <v>#REF!</v>
      </c>
      <c r="P108" s="136"/>
      <c r="Q108" s="136">
        <v>150</v>
      </c>
      <c r="R108" s="136"/>
      <c r="S108" s="136"/>
      <c r="T108" s="136"/>
      <c r="U108" s="136"/>
      <c r="V108" s="136"/>
      <c r="W108" s="136"/>
      <c r="X108" s="136"/>
      <c r="Y108" s="136">
        <v>200</v>
      </c>
      <c r="Z108" s="136"/>
      <c r="AA108" s="136"/>
      <c r="AB108" s="136"/>
      <c r="AC108" s="136"/>
      <c r="AD108" s="136"/>
      <c r="AE108" s="136"/>
      <c r="AF108" s="136"/>
      <c r="AG108" s="136">
        <v>350</v>
      </c>
      <c r="AH108" s="136"/>
      <c r="AI108" s="136"/>
      <c r="AJ108" s="136"/>
      <c r="AK108" s="136"/>
      <c r="AL108" s="136"/>
      <c r="AM108" s="136"/>
      <c r="AN108" s="136"/>
      <c r="AO108" s="136">
        <v>300</v>
      </c>
    </row>
    <row r="109" spans="1:41" ht="33">
      <c r="A109" s="166">
        <v>3111</v>
      </c>
      <c r="B109" s="2">
        <v>41</v>
      </c>
      <c r="C109" s="2">
        <v>921</v>
      </c>
      <c r="D109" s="8">
        <v>70499</v>
      </c>
      <c r="E109" s="84" t="s">
        <v>271</v>
      </c>
      <c r="F109" s="10"/>
      <c r="G109" s="10">
        <f>1339.3+3159</f>
        <v>4498.3</v>
      </c>
      <c r="H109" s="136"/>
      <c r="I109" s="136" t="e">
        <f>'USD 19-21'!#REF!*69.2</f>
        <v>#REF!</v>
      </c>
      <c r="J109" s="136"/>
      <c r="K109" s="136"/>
      <c r="L109" s="136"/>
      <c r="M109" s="136" t="e">
        <f>'USD 19-21'!#REF!*72.4</f>
        <v>#REF!</v>
      </c>
      <c r="N109" s="140"/>
      <c r="O109" s="136" t="e">
        <f>'USD 19-21'!#REF!*69.2</f>
        <v>#REF!</v>
      </c>
      <c r="P109" s="136"/>
      <c r="Q109" s="136">
        <v>1062.5</v>
      </c>
      <c r="R109" s="136"/>
      <c r="S109" s="136"/>
      <c r="T109" s="136"/>
      <c r="U109" s="136"/>
      <c r="V109" s="136"/>
      <c r="W109" s="136"/>
      <c r="X109" s="136"/>
      <c r="Y109" s="136">
        <v>1062.5</v>
      </c>
      <c r="Z109" s="136"/>
      <c r="AA109" s="136"/>
      <c r="AB109" s="136"/>
      <c r="AC109" s="136"/>
      <c r="AD109" s="136"/>
      <c r="AE109" s="136"/>
      <c r="AF109" s="136"/>
      <c r="AG109" s="136">
        <v>1062.5</v>
      </c>
      <c r="AH109" s="136"/>
      <c r="AI109" s="136"/>
      <c r="AJ109" s="136"/>
      <c r="AK109" s="136"/>
      <c r="AL109" s="136"/>
      <c r="AM109" s="136"/>
      <c r="AN109" s="136"/>
      <c r="AO109" s="136">
        <v>1062.5</v>
      </c>
    </row>
    <row r="110" spans="1:41" ht="33">
      <c r="A110" s="166">
        <v>3111</v>
      </c>
      <c r="B110" s="2">
        <v>41</v>
      </c>
      <c r="C110" s="2">
        <v>931</v>
      </c>
      <c r="D110" s="8">
        <v>70499</v>
      </c>
      <c r="E110" s="168" t="s">
        <v>272</v>
      </c>
      <c r="F110" s="10"/>
      <c r="G110" s="10">
        <v>850</v>
      </c>
      <c r="H110" s="136"/>
      <c r="I110" s="136" t="e">
        <f>'USD 19-21'!#REF!*69.2</f>
        <v>#REF!</v>
      </c>
      <c r="J110" s="136"/>
      <c r="K110" s="136"/>
      <c r="L110" s="136"/>
      <c r="M110" s="136" t="e">
        <f>'USD 19-21'!#REF!*72.4</f>
        <v>#REF!</v>
      </c>
      <c r="N110" s="140"/>
      <c r="O110" s="136" t="e">
        <f>'USD 19-21'!#REF!*69.2</f>
        <v>#REF!</v>
      </c>
      <c r="P110" s="136"/>
      <c r="Q110" s="136">
        <v>544</v>
      </c>
      <c r="R110" s="136"/>
      <c r="S110" s="136"/>
      <c r="T110" s="136"/>
      <c r="U110" s="136"/>
      <c r="V110" s="136"/>
      <c r="W110" s="136"/>
      <c r="X110" s="136"/>
      <c r="Y110" s="136">
        <v>544</v>
      </c>
      <c r="Z110" s="136"/>
      <c r="AA110" s="136"/>
      <c r="AB110" s="136"/>
      <c r="AC110" s="136"/>
      <c r="AD110" s="136"/>
      <c r="AE110" s="136"/>
      <c r="AF110" s="136"/>
      <c r="AG110" s="136">
        <v>544</v>
      </c>
      <c r="AH110" s="136"/>
      <c r="AI110" s="136"/>
      <c r="AJ110" s="136"/>
      <c r="AK110" s="136"/>
      <c r="AL110" s="136"/>
      <c r="AM110" s="136"/>
      <c r="AN110" s="136"/>
      <c r="AO110" s="136">
        <v>544</v>
      </c>
    </row>
    <row r="111" spans="1:41" ht="33">
      <c r="A111" s="165">
        <v>3214</v>
      </c>
      <c r="B111" s="2">
        <v>41</v>
      </c>
      <c r="C111" s="2">
        <v>931</v>
      </c>
      <c r="D111" s="8">
        <v>70499</v>
      </c>
      <c r="E111" s="168" t="s">
        <v>138</v>
      </c>
      <c r="F111" s="10"/>
      <c r="G111" s="10">
        <v>5000</v>
      </c>
      <c r="H111" s="136"/>
      <c r="I111" s="136"/>
      <c r="J111" s="136"/>
      <c r="K111" s="136"/>
      <c r="L111" s="136"/>
      <c r="M111" s="136"/>
      <c r="N111" s="140"/>
      <c r="O111" s="139"/>
      <c r="P111" s="136"/>
      <c r="Q111" s="136">
        <f>I111/4</f>
        <v>0</v>
      </c>
      <c r="R111" s="136"/>
      <c r="S111" s="136"/>
      <c r="T111" s="136"/>
      <c r="U111" s="136"/>
      <c r="V111" s="136"/>
      <c r="W111" s="136"/>
      <c r="X111" s="136"/>
      <c r="Y111" s="136">
        <v>1250</v>
      </c>
      <c r="Z111" s="136"/>
      <c r="AA111" s="136"/>
      <c r="AB111" s="136"/>
      <c r="AC111" s="136"/>
      <c r="AD111" s="136"/>
      <c r="AE111" s="136"/>
      <c r="AF111" s="136"/>
      <c r="AG111" s="136">
        <v>1250</v>
      </c>
      <c r="AH111" s="136"/>
      <c r="AI111" s="136"/>
      <c r="AJ111" s="136"/>
      <c r="AK111" s="136"/>
      <c r="AL111" s="136"/>
      <c r="AM111" s="136"/>
      <c r="AN111" s="136"/>
      <c r="AO111" s="136">
        <v>1250</v>
      </c>
    </row>
    <row r="112" spans="1:41" ht="33">
      <c r="A112" s="165">
        <v>3214</v>
      </c>
      <c r="B112" s="2">
        <v>41</v>
      </c>
      <c r="C112" s="2">
        <v>931</v>
      </c>
      <c r="D112" s="8">
        <v>70499</v>
      </c>
      <c r="E112" s="168" t="s">
        <v>72</v>
      </c>
      <c r="F112" s="10"/>
      <c r="G112" s="10">
        <v>9000</v>
      </c>
      <c r="H112" s="136"/>
      <c r="I112" s="136">
        <v>557850</v>
      </c>
      <c r="J112" s="136"/>
      <c r="K112" s="136"/>
      <c r="L112" s="136"/>
      <c r="M112" s="136"/>
      <c r="N112" s="140"/>
      <c r="O112" s="139"/>
      <c r="P112" s="136"/>
      <c r="Q112" s="136">
        <f>I112/4</f>
        <v>139462.5</v>
      </c>
      <c r="R112" s="136"/>
      <c r="S112" s="136"/>
      <c r="T112" s="136"/>
      <c r="U112" s="136"/>
      <c r="V112" s="136"/>
      <c r="W112" s="136"/>
      <c r="X112" s="136"/>
      <c r="Y112" s="136">
        <f>Q112</f>
        <v>139462.5</v>
      </c>
      <c r="Z112" s="136"/>
      <c r="AA112" s="136"/>
      <c r="AB112" s="136"/>
      <c r="AC112" s="136"/>
      <c r="AD112" s="136"/>
      <c r="AE112" s="136"/>
      <c r="AF112" s="136"/>
      <c r="AG112" s="136">
        <f>Y112</f>
        <v>139462.5</v>
      </c>
      <c r="AH112" s="136"/>
      <c r="AI112" s="136"/>
      <c r="AJ112" s="136"/>
      <c r="AK112" s="136"/>
      <c r="AL112" s="136"/>
      <c r="AM112" s="136"/>
      <c r="AN112" s="136"/>
      <c r="AO112" s="136">
        <f>Y112</f>
        <v>139462.5</v>
      </c>
    </row>
    <row r="113" spans="2:41" ht="18" customHeight="1">
      <c r="B113" s="2"/>
      <c r="C113" s="2"/>
      <c r="D113" s="2"/>
      <c r="E113" s="13"/>
      <c r="F113" s="10"/>
      <c r="G113" s="10"/>
      <c r="H113" s="136"/>
      <c r="I113" s="136"/>
      <c r="J113" s="136">
        <f>H113-F113</f>
        <v>0</v>
      </c>
      <c r="K113" s="136">
        <f>I113-G113</f>
        <v>0</v>
      </c>
      <c r="L113" s="136"/>
      <c r="M113" s="136"/>
      <c r="N113" s="140"/>
      <c r="O113" s="139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  <c r="AB113" s="136"/>
      <c r="AC113" s="136"/>
      <c r="AD113" s="136"/>
      <c r="AE113" s="136"/>
      <c r="AF113" s="136"/>
      <c r="AG113" s="136"/>
      <c r="AH113" s="136"/>
      <c r="AI113" s="136"/>
      <c r="AJ113" s="136"/>
      <c r="AK113" s="136"/>
      <c r="AL113" s="136"/>
      <c r="AM113" s="136"/>
      <c r="AN113" s="136"/>
      <c r="AO113" s="136"/>
    </row>
    <row r="114" spans="2:41" ht="18" customHeight="1" hidden="1">
      <c r="B114" s="2"/>
      <c r="C114" s="2"/>
      <c r="D114" s="2"/>
      <c r="E114" s="119"/>
      <c r="F114" s="93"/>
      <c r="G114" s="93"/>
      <c r="H114" s="138"/>
      <c r="I114" s="138"/>
      <c r="J114" s="136"/>
      <c r="K114" s="136"/>
      <c r="L114" s="138"/>
      <c r="M114" s="138"/>
      <c r="N114" s="143"/>
      <c r="O114" s="138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  <c r="AB114" s="136"/>
      <c r="AC114" s="136"/>
      <c r="AD114" s="136"/>
      <c r="AE114" s="136"/>
      <c r="AF114" s="136"/>
      <c r="AG114" s="136"/>
      <c r="AH114" s="136"/>
      <c r="AI114" s="136"/>
      <c r="AJ114" s="136"/>
      <c r="AK114" s="136"/>
      <c r="AL114" s="136"/>
      <c r="AM114" s="136"/>
      <c r="AN114" s="136"/>
      <c r="AO114" s="136"/>
    </row>
    <row r="115" spans="2:41" ht="18" customHeight="1" hidden="1">
      <c r="B115" s="2"/>
      <c r="C115" s="2"/>
      <c r="D115" s="2"/>
      <c r="E115" s="120"/>
      <c r="F115" s="94"/>
      <c r="G115" s="94"/>
      <c r="H115" s="135"/>
      <c r="I115" s="135"/>
      <c r="J115" s="136"/>
      <c r="K115" s="136"/>
      <c r="L115" s="135"/>
      <c r="M115" s="135"/>
      <c r="N115" s="144"/>
      <c r="O115" s="135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  <c r="AB115" s="136"/>
      <c r="AC115" s="136"/>
      <c r="AD115" s="136"/>
      <c r="AE115" s="136"/>
      <c r="AF115" s="136"/>
      <c r="AG115" s="136"/>
      <c r="AH115" s="136"/>
      <c r="AI115" s="136"/>
      <c r="AJ115" s="136"/>
      <c r="AK115" s="136"/>
      <c r="AL115" s="136"/>
      <c r="AM115" s="136"/>
      <c r="AN115" s="136"/>
      <c r="AO115" s="136"/>
    </row>
    <row r="116" spans="8:41" ht="16.5" hidden="1">
      <c r="H116" s="147"/>
      <c r="I116" s="147"/>
      <c r="J116" s="147"/>
      <c r="K116" s="147"/>
      <c r="L116" s="147"/>
      <c r="M116" s="147"/>
      <c r="N116" s="148"/>
      <c r="O116" s="139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  <c r="AB116" s="136"/>
      <c r="AC116" s="136"/>
      <c r="AD116" s="136"/>
      <c r="AE116" s="136"/>
      <c r="AF116" s="136"/>
      <c r="AG116" s="136"/>
      <c r="AH116" s="136"/>
      <c r="AI116" s="136"/>
      <c r="AJ116" s="136"/>
      <c r="AK116" s="136"/>
      <c r="AL116" s="136"/>
      <c r="AM116" s="136"/>
      <c r="AN116" s="136"/>
      <c r="AO116" s="136"/>
    </row>
    <row r="117" spans="8:41" ht="16.5" hidden="1">
      <c r="H117" s="147"/>
      <c r="I117" s="147"/>
      <c r="J117" s="147"/>
      <c r="K117" s="147"/>
      <c r="L117" s="147"/>
      <c r="M117" s="147"/>
      <c r="N117" s="148"/>
      <c r="O117" s="139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  <c r="AB117" s="136"/>
      <c r="AC117" s="136"/>
      <c r="AD117" s="136"/>
      <c r="AE117" s="136"/>
      <c r="AF117" s="136"/>
      <c r="AG117" s="136"/>
      <c r="AH117" s="136"/>
      <c r="AI117" s="136"/>
      <c r="AJ117" s="136"/>
      <c r="AK117" s="136"/>
      <c r="AL117" s="136"/>
      <c r="AM117" s="136"/>
      <c r="AN117" s="136"/>
      <c r="AO117" s="136"/>
    </row>
    <row r="118" spans="8:41" ht="16.5" hidden="1">
      <c r="H118" s="147"/>
      <c r="I118" s="147"/>
      <c r="J118" s="147"/>
      <c r="K118" s="147"/>
      <c r="L118" s="147"/>
      <c r="M118" s="147"/>
      <c r="N118" s="148"/>
      <c r="O118" s="139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</row>
    <row r="119" spans="8:41" ht="16.5" hidden="1">
      <c r="H119" s="147"/>
      <c r="I119" s="147"/>
      <c r="J119" s="147"/>
      <c r="K119" s="147"/>
      <c r="L119" s="147"/>
      <c r="M119" s="147"/>
      <c r="N119" s="148"/>
      <c r="O119" s="139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  <c r="AB119" s="136"/>
      <c r="AC119" s="136"/>
      <c r="AD119" s="136"/>
      <c r="AE119" s="136"/>
      <c r="AF119" s="136"/>
      <c r="AG119" s="136"/>
      <c r="AH119" s="136"/>
      <c r="AI119" s="136"/>
      <c r="AJ119" s="136"/>
      <c r="AK119" s="136"/>
      <c r="AL119" s="136"/>
      <c r="AM119" s="136"/>
      <c r="AN119" s="136"/>
      <c r="AO119" s="136"/>
    </row>
    <row r="120" spans="8:41" ht="16.5" hidden="1">
      <c r="H120" s="147"/>
      <c r="I120" s="147"/>
      <c r="J120" s="147"/>
      <c r="K120" s="147"/>
      <c r="L120" s="147"/>
      <c r="M120" s="147"/>
      <c r="N120" s="148"/>
      <c r="O120" s="139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  <c r="AB120" s="136"/>
      <c r="AC120" s="136"/>
      <c r="AD120" s="136"/>
      <c r="AE120" s="136"/>
      <c r="AF120" s="136"/>
      <c r="AG120" s="136"/>
      <c r="AH120" s="136"/>
      <c r="AI120" s="136"/>
      <c r="AJ120" s="136"/>
      <c r="AK120" s="136"/>
      <c r="AL120" s="136"/>
      <c r="AM120" s="136"/>
      <c r="AN120" s="136"/>
      <c r="AO120" s="136"/>
    </row>
    <row r="121" spans="8:41" ht="16.5" hidden="1">
      <c r="H121" s="147"/>
      <c r="I121" s="147"/>
      <c r="J121" s="147"/>
      <c r="K121" s="147"/>
      <c r="L121" s="147"/>
      <c r="M121" s="147"/>
      <c r="N121" s="148"/>
      <c r="O121" s="139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  <c r="AB121" s="136"/>
      <c r="AC121" s="136"/>
      <c r="AD121" s="136"/>
      <c r="AE121" s="136"/>
      <c r="AF121" s="136"/>
      <c r="AG121" s="136"/>
      <c r="AH121" s="136"/>
      <c r="AI121" s="136"/>
      <c r="AJ121" s="136"/>
      <c r="AK121" s="136"/>
      <c r="AL121" s="136"/>
      <c r="AM121" s="136"/>
      <c r="AN121" s="136"/>
      <c r="AO121" s="136"/>
    </row>
    <row r="122" spans="8:41" ht="16.5" hidden="1">
      <c r="H122" s="147"/>
      <c r="I122" s="147"/>
      <c r="J122" s="147"/>
      <c r="K122" s="147"/>
      <c r="L122" s="147"/>
      <c r="M122" s="147"/>
      <c r="N122" s="148"/>
      <c r="O122" s="139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  <c r="AB122" s="136"/>
      <c r="AC122" s="136"/>
      <c r="AD122" s="136"/>
      <c r="AE122" s="136"/>
      <c r="AF122" s="136"/>
      <c r="AG122" s="136"/>
      <c r="AH122" s="136"/>
      <c r="AI122" s="136"/>
      <c r="AJ122" s="136"/>
      <c r="AK122" s="136"/>
      <c r="AL122" s="136"/>
      <c r="AM122" s="136"/>
      <c r="AN122" s="136"/>
      <c r="AO122" s="136"/>
    </row>
    <row r="123" spans="8:41" ht="16.5" hidden="1">
      <c r="H123" s="147"/>
      <c r="I123" s="147"/>
      <c r="J123" s="147"/>
      <c r="K123" s="147"/>
      <c r="L123" s="147"/>
      <c r="M123" s="147"/>
      <c r="N123" s="148"/>
      <c r="O123" s="139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</row>
    <row r="124" spans="8:41" ht="16.5" hidden="1">
      <c r="H124" s="147"/>
      <c r="I124" s="147"/>
      <c r="J124" s="147"/>
      <c r="K124" s="147"/>
      <c r="L124" s="147"/>
      <c r="M124" s="147"/>
      <c r="N124" s="148"/>
      <c r="O124" s="139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6"/>
      <c r="AD124" s="136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</row>
    <row r="125" spans="8:41" ht="16.5" hidden="1">
      <c r="H125" s="147"/>
      <c r="I125" s="147"/>
      <c r="J125" s="147"/>
      <c r="K125" s="147"/>
      <c r="L125" s="147"/>
      <c r="M125" s="147"/>
      <c r="N125" s="148"/>
      <c r="O125" s="139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6"/>
      <c r="AD125" s="136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</row>
    <row r="126" spans="8:41" ht="16.5" hidden="1">
      <c r="H126" s="147"/>
      <c r="I126" s="147"/>
      <c r="J126" s="147"/>
      <c r="K126" s="147"/>
      <c r="L126" s="147"/>
      <c r="M126" s="147"/>
      <c r="N126" s="148"/>
      <c r="O126" s="139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</row>
    <row r="127" spans="8:41" ht="16.5" hidden="1">
      <c r="H127" s="147"/>
      <c r="I127" s="147"/>
      <c r="J127" s="147"/>
      <c r="K127" s="147"/>
      <c r="L127" s="147"/>
      <c r="M127" s="147"/>
      <c r="N127" s="148"/>
      <c r="O127" s="139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  <c r="AB127" s="136"/>
      <c r="AC127" s="136"/>
      <c r="AD127" s="136"/>
      <c r="AE127" s="136"/>
      <c r="AF127" s="136"/>
      <c r="AG127" s="136"/>
      <c r="AH127" s="136"/>
      <c r="AI127" s="136"/>
      <c r="AJ127" s="136"/>
      <c r="AK127" s="136"/>
      <c r="AL127" s="136"/>
      <c r="AM127" s="136"/>
      <c r="AN127" s="136"/>
      <c r="AO127" s="136"/>
    </row>
    <row r="128" spans="8:41" ht="16.5" hidden="1">
      <c r="H128" s="147"/>
      <c r="I128" s="147"/>
      <c r="J128" s="147"/>
      <c r="K128" s="147"/>
      <c r="L128" s="147"/>
      <c r="M128" s="147"/>
      <c r="N128" s="148"/>
      <c r="O128" s="139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</row>
    <row r="129" spans="8:41" ht="16.5" hidden="1">
      <c r="H129" s="147"/>
      <c r="I129" s="147"/>
      <c r="J129" s="147"/>
      <c r="K129" s="147"/>
      <c r="L129" s="147"/>
      <c r="M129" s="147"/>
      <c r="N129" s="148"/>
      <c r="O129" s="139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</row>
    <row r="130" spans="8:41" ht="16.5" hidden="1">
      <c r="H130" s="147"/>
      <c r="I130" s="147"/>
      <c r="J130" s="147"/>
      <c r="K130" s="147"/>
      <c r="L130" s="147"/>
      <c r="M130" s="147"/>
      <c r="N130" s="148"/>
      <c r="O130" s="139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  <c r="AB130" s="136"/>
      <c r="AC130" s="136"/>
      <c r="AD130" s="136"/>
      <c r="AE130" s="136"/>
      <c r="AF130" s="136"/>
      <c r="AG130" s="136"/>
      <c r="AH130" s="136"/>
      <c r="AI130" s="136"/>
      <c r="AJ130" s="136"/>
      <c r="AK130" s="136"/>
      <c r="AL130" s="136"/>
      <c r="AM130" s="136"/>
      <c r="AN130" s="136"/>
      <c r="AO130" s="136"/>
    </row>
    <row r="131" spans="8:41" ht="16.5" hidden="1">
      <c r="H131" s="147"/>
      <c r="I131" s="147"/>
      <c r="J131" s="147"/>
      <c r="K131" s="147"/>
      <c r="L131" s="147"/>
      <c r="M131" s="147"/>
      <c r="N131" s="148"/>
      <c r="O131" s="139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  <c r="AB131" s="136"/>
      <c r="AC131" s="136"/>
      <c r="AD131" s="136"/>
      <c r="AE131" s="136"/>
      <c r="AF131" s="136"/>
      <c r="AG131" s="136"/>
      <c r="AH131" s="136"/>
      <c r="AI131" s="136"/>
      <c r="AJ131" s="136"/>
      <c r="AK131" s="136"/>
      <c r="AL131" s="136"/>
      <c r="AM131" s="136"/>
      <c r="AN131" s="136"/>
      <c r="AO131" s="136"/>
    </row>
    <row r="132" spans="8:41" ht="16.5" hidden="1">
      <c r="H132" s="147"/>
      <c r="I132" s="147"/>
      <c r="J132" s="147"/>
      <c r="K132" s="147"/>
      <c r="L132" s="147"/>
      <c r="M132" s="147"/>
      <c r="N132" s="148"/>
      <c r="O132" s="139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</row>
    <row r="133" spans="8:41" ht="16.5" hidden="1">
      <c r="H133" s="147"/>
      <c r="I133" s="147"/>
      <c r="J133" s="147"/>
      <c r="K133" s="147"/>
      <c r="L133" s="147"/>
      <c r="M133" s="147"/>
      <c r="N133" s="148"/>
      <c r="O133" s="139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</row>
    <row r="134" spans="8:41" ht="16.5" hidden="1">
      <c r="H134" s="147"/>
      <c r="I134" s="147"/>
      <c r="J134" s="147"/>
      <c r="K134" s="147"/>
      <c r="L134" s="147"/>
      <c r="M134" s="147"/>
      <c r="N134" s="148"/>
      <c r="O134" s="139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  <c r="AB134" s="136"/>
      <c r="AC134" s="136"/>
      <c r="AD134" s="136"/>
      <c r="AE134" s="136"/>
      <c r="AF134" s="136"/>
      <c r="AG134" s="136"/>
      <c r="AH134" s="136"/>
      <c r="AI134" s="136"/>
      <c r="AJ134" s="136"/>
      <c r="AK134" s="136"/>
      <c r="AL134" s="136"/>
      <c r="AM134" s="136"/>
      <c r="AN134" s="136"/>
      <c r="AO134" s="136"/>
    </row>
    <row r="135" spans="8:41" ht="16.5" hidden="1">
      <c r="H135" s="147"/>
      <c r="I135" s="147"/>
      <c r="J135" s="147"/>
      <c r="K135" s="147"/>
      <c r="L135" s="147"/>
      <c r="M135" s="147"/>
      <c r="N135" s="148"/>
      <c r="O135" s="139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  <c r="AB135" s="136"/>
      <c r="AC135" s="136"/>
      <c r="AD135" s="136"/>
      <c r="AE135" s="136"/>
      <c r="AF135" s="136"/>
      <c r="AG135" s="136"/>
      <c r="AH135" s="136"/>
      <c r="AI135" s="136"/>
      <c r="AJ135" s="136"/>
      <c r="AK135" s="136"/>
      <c r="AL135" s="136"/>
      <c r="AM135" s="136"/>
      <c r="AN135" s="136"/>
      <c r="AO135" s="136"/>
    </row>
    <row r="136" spans="8:41" ht="16.5" hidden="1">
      <c r="H136" s="147"/>
      <c r="I136" s="147"/>
      <c r="J136" s="147"/>
      <c r="K136" s="147"/>
      <c r="L136" s="147"/>
      <c r="M136" s="147"/>
      <c r="N136" s="148"/>
      <c r="O136" s="139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  <c r="AB136" s="136"/>
      <c r="AC136" s="136"/>
      <c r="AD136" s="136"/>
      <c r="AE136" s="136"/>
      <c r="AF136" s="136"/>
      <c r="AG136" s="136"/>
      <c r="AH136" s="136"/>
      <c r="AI136" s="136"/>
      <c r="AJ136" s="136"/>
      <c r="AK136" s="136"/>
      <c r="AL136" s="136"/>
      <c r="AM136" s="136"/>
      <c r="AN136" s="136"/>
      <c r="AO136" s="136"/>
    </row>
    <row r="137" spans="8:41" ht="16.5" hidden="1">
      <c r="H137" s="147"/>
      <c r="I137" s="147"/>
      <c r="J137" s="147"/>
      <c r="K137" s="147"/>
      <c r="L137" s="147"/>
      <c r="M137" s="147"/>
      <c r="N137" s="148"/>
      <c r="O137" s="139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  <c r="AB137" s="136"/>
      <c r="AC137" s="136"/>
      <c r="AD137" s="136"/>
      <c r="AE137" s="136"/>
      <c r="AF137" s="136"/>
      <c r="AG137" s="136"/>
      <c r="AH137" s="136"/>
      <c r="AI137" s="136"/>
      <c r="AJ137" s="136"/>
      <c r="AK137" s="136"/>
      <c r="AL137" s="136"/>
      <c r="AM137" s="136"/>
      <c r="AN137" s="136"/>
      <c r="AO137" s="136"/>
    </row>
    <row r="138" spans="8:41" ht="16.5" hidden="1">
      <c r="H138" s="147"/>
      <c r="I138" s="147"/>
      <c r="J138" s="147"/>
      <c r="K138" s="147"/>
      <c r="L138" s="147"/>
      <c r="M138" s="147"/>
      <c r="N138" s="148"/>
      <c r="O138" s="139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</row>
    <row r="139" spans="2:41" ht="15.75" customHeight="1" hidden="1">
      <c r="B139" s="2"/>
      <c r="C139" s="2"/>
      <c r="D139" s="2"/>
      <c r="E139" s="9"/>
      <c r="F139" s="10"/>
      <c r="G139" s="10"/>
      <c r="H139" s="136"/>
      <c r="I139" s="136"/>
      <c r="J139" s="136">
        <f aca="true" t="shared" si="11" ref="J139:K141">H139-F139</f>
        <v>0</v>
      </c>
      <c r="K139" s="136">
        <f t="shared" si="11"/>
        <v>0</v>
      </c>
      <c r="L139" s="136"/>
      <c r="M139" s="136"/>
      <c r="N139" s="140"/>
      <c r="O139" s="139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  <c r="AB139" s="136"/>
      <c r="AC139" s="136"/>
      <c r="AD139" s="136"/>
      <c r="AE139" s="136"/>
      <c r="AF139" s="136"/>
      <c r="AG139" s="136"/>
      <c r="AH139" s="136"/>
      <c r="AI139" s="136"/>
      <c r="AJ139" s="136"/>
      <c r="AK139" s="136"/>
      <c r="AL139" s="136"/>
      <c r="AM139" s="136"/>
      <c r="AN139" s="136"/>
      <c r="AO139" s="136"/>
    </row>
    <row r="140" spans="2:41" ht="15.75" customHeight="1">
      <c r="B140" s="2"/>
      <c r="C140" s="2"/>
      <c r="D140" s="2"/>
      <c r="E140" s="119" t="s">
        <v>11</v>
      </c>
      <c r="F140" s="93">
        <f aca="true" t="shared" si="12" ref="F140:O140">F141</f>
        <v>16084.790123456793</v>
      </c>
      <c r="G140" s="93">
        <f t="shared" si="12"/>
        <v>267903.89999999997</v>
      </c>
      <c r="H140" s="138">
        <f t="shared" si="12"/>
        <v>1231133.1</v>
      </c>
      <c r="I140" s="138" t="e">
        <f>I141</f>
        <v>#REF!</v>
      </c>
      <c r="J140" s="136">
        <f t="shared" si="11"/>
        <v>1215048.3098765432</v>
      </c>
      <c r="K140" s="136" t="e">
        <f t="shared" si="11"/>
        <v>#REF!</v>
      </c>
      <c r="L140" s="138">
        <f t="shared" si="12"/>
        <v>880047.2999999999</v>
      </c>
      <c r="M140" s="138" t="e">
        <f t="shared" si="12"/>
        <v>#REF!</v>
      </c>
      <c r="N140" s="143">
        <f t="shared" si="12"/>
        <v>618314</v>
      </c>
      <c r="O140" s="138">
        <f t="shared" si="12"/>
        <v>1382955.08</v>
      </c>
      <c r="P140" s="138" t="e">
        <f>P141</f>
        <v>#REF!</v>
      </c>
      <c r="Q140" s="138">
        <f>Q141</f>
        <v>4166740.1800000006</v>
      </c>
      <c r="R140" s="138"/>
      <c r="S140" s="138"/>
      <c r="T140" s="138"/>
      <c r="U140" s="138"/>
      <c r="V140" s="138"/>
      <c r="W140" s="138"/>
      <c r="X140" s="138">
        <f>X141</f>
        <v>3333.72</v>
      </c>
      <c r="Y140" s="138" t="e">
        <f>Y141</f>
        <v>#REF!</v>
      </c>
      <c r="Z140" s="138"/>
      <c r="AA140" s="138"/>
      <c r="AB140" s="138"/>
      <c r="AC140" s="138"/>
      <c r="AD140" s="138"/>
      <c r="AE140" s="138"/>
      <c r="AF140" s="138">
        <f>AF141</f>
        <v>3966.1099999999997</v>
      </c>
      <c r="AG140" s="138" t="e">
        <f>AG141</f>
        <v>#REF!</v>
      </c>
      <c r="AH140" s="138"/>
      <c r="AI140" s="138"/>
      <c r="AJ140" s="138"/>
      <c r="AK140" s="138"/>
      <c r="AL140" s="138"/>
      <c r="AM140" s="138"/>
      <c r="AN140" s="138">
        <f>AN141</f>
        <v>667.39</v>
      </c>
      <c r="AO140" s="138" t="e">
        <f>AO141</f>
        <v>#REF!</v>
      </c>
    </row>
    <row r="141" spans="2:41" ht="15.75" customHeight="1">
      <c r="B141" s="2"/>
      <c r="C141" s="2"/>
      <c r="D141" s="2"/>
      <c r="E141" s="120" t="s">
        <v>3</v>
      </c>
      <c r="F141" s="94">
        <f aca="true" t="shared" si="13" ref="F141:O141">SUM(F142:F178)</f>
        <v>16084.790123456793</v>
      </c>
      <c r="G141" s="94">
        <f t="shared" si="13"/>
        <v>267903.89999999997</v>
      </c>
      <c r="H141" s="135">
        <f>SUM(H142:H178)</f>
        <v>1231133.1</v>
      </c>
      <c r="I141" s="135" t="e">
        <f>SUM(I142:I178)</f>
        <v>#REF!</v>
      </c>
      <c r="J141" s="136">
        <f t="shared" si="11"/>
        <v>1215048.3098765432</v>
      </c>
      <c r="K141" s="136" t="e">
        <f t="shared" si="11"/>
        <v>#REF!</v>
      </c>
      <c r="L141" s="135">
        <f t="shared" si="13"/>
        <v>880047.2999999999</v>
      </c>
      <c r="M141" s="135" t="e">
        <f t="shared" si="13"/>
        <v>#REF!</v>
      </c>
      <c r="N141" s="144">
        <f t="shared" si="13"/>
        <v>618314</v>
      </c>
      <c r="O141" s="135">
        <f t="shared" si="13"/>
        <v>1382955.08</v>
      </c>
      <c r="P141" s="135" t="e">
        <f>SUM(P142:P178)</f>
        <v>#REF!</v>
      </c>
      <c r="Q141" s="135">
        <f>SUM(Q142:Q178)</f>
        <v>4166740.1800000006</v>
      </c>
      <c r="R141" s="136"/>
      <c r="S141" s="136"/>
      <c r="T141" s="136"/>
      <c r="U141" s="136"/>
      <c r="V141" s="136"/>
      <c r="W141" s="136"/>
      <c r="X141" s="135">
        <f>SUM(X142:X178)</f>
        <v>3333.72</v>
      </c>
      <c r="Y141" s="135" t="e">
        <f>SUM(Y142:Y178)</f>
        <v>#REF!</v>
      </c>
      <c r="Z141" s="136"/>
      <c r="AA141" s="136"/>
      <c r="AB141" s="136"/>
      <c r="AC141" s="136"/>
      <c r="AD141" s="136"/>
      <c r="AE141" s="136"/>
      <c r="AF141" s="135">
        <f>SUM(AF142:AF178)</f>
        <v>3966.1099999999997</v>
      </c>
      <c r="AG141" s="135" t="e">
        <f>SUM(AG142:AG178)</f>
        <v>#REF!</v>
      </c>
      <c r="AH141" s="136"/>
      <c r="AI141" s="136"/>
      <c r="AJ141" s="136"/>
      <c r="AK141" s="136"/>
      <c r="AL141" s="136"/>
      <c r="AM141" s="136"/>
      <c r="AN141" s="135">
        <f>SUM(AN142:AN178)</f>
        <v>667.39</v>
      </c>
      <c r="AO141" s="135" t="e">
        <f>SUM(AO142:AO178)</f>
        <v>#REF!</v>
      </c>
    </row>
    <row r="142" spans="1:41" ht="15.75" customHeight="1">
      <c r="A142" s="1">
        <v>3111</v>
      </c>
      <c r="B142" s="2">
        <v>43</v>
      </c>
      <c r="C142" s="2">
        <v>910</v>
      </c>
      <c r="D142" s="8">
        <v>70499</v>
      </c>
      <c r="E142" s="58" t="s">
        <v>110</v>
      </c>
      <c r="F142" s="10">
        <f>'KGS 16-18'!F117/64.8</f>
        <v>902.75</v>
      </c>
      <c r="G142" s="10"/>
      <c r="H142" s="136">
        <v>80000</v>
      </c>
      <c r="I142" s="136"/>
      <c r="J142" s="136"/>
      <c r="K142" s="136"/>
      <c r="L142" s="136">
        <v>60000</v>
      </c>
      <c r="M142" s="139"/>
      <c r="N142" s="137"/>
      <c r="O142" s="139"/>
      <c r="P142" s="136">
        <v>108</v>
      </c>
      <c r="Q142" s="136"/>
      <c r="R142" s="136"/>
      <c r="S142" s="136"/>
      <c r="T142" s="136"/>
      <c r="U142" s="136"/>
      <c r="V142" s="136"/>
      <c r="W142" s="136"/>
      <c r="X142" s="136">
        <v>238.4</v>
      </c>
      <c r="Y142" s="136"/>
      <c r="Z142" s="136"/>
      <c r="AA142" s="136"/>
      <c r="AB142" s="136"/>
      <c r="AC142" s="136"/>
      <c r="AD142" s="136"/>
      <c r="AE142" s="136"/>
      <c r="AF142" s="136">
        <v>397.4</v>
      </c>
      <c r="AG142" s="136"/>
      <c r="AH142" s="136"/>
      <c r="AI142" s="136"/>
      <c r="AJ142" s="136"/>
      <c r="AK142" s="136"/>
      <c r="AL142" s="136"/>
      <c r="AM142" s="136"/>
      <c r="AN142" s="136">
        <v>158.95</v>
      </c>
      <c r="AO142" s="136"/>
    </row>
    <row r="143" spans="1:41" ht="15.75" customHeight="1">
      <c r="A143" s="1">
        <v>3111</v>
      </c>
      <c r="B143" s="2">
        <v>43</v>
      </c>
      <c r="C143" s="2">
        <v>930</v>
      </c>
      <c r="D143" s="8">
        <v>70499</v>
      </c>
      <c r="E143" s="167" t="s">
        <v>111</v>
      </c>
      <c r="F143" s="10"/>
      <c r="G143" s="10">
        <v>3500</v>
      </c>
      <c r="H143" s="136"/>
      <c r="I143" s="136">
        <f>'USD 19-21'!J75*69.2</f>
        <v>34600</v>
      </c>
      <c r="J143" s="136"/>
      <c r="K143" s="136"/>
      <c r="L143" s="136"/>
      <c r="M143" s="136">
        <f>'USD 19-21'!L75*72.4</f>
        <v>0</v>
      </c>
      <c r="N143" s="140"/>
      <c r="O143" s="136"/>
      <c r="P143" s="136"/>
      <c r="Q143" s="136">
        <v>250</v>
      </c>
      <c r="R143" s="136"/>
      <c r="S143" s="136"/>
      <c r="T143" s="136"/>
      <c r="U143" s="136"/>
      <c r="V143" s="136"/>
      <c r="W143" s="136"/>
      <c r="X143" s="136"/>
      <c r="Y143" s="136">
        <v>975</v>
      </c>
      <c r="Z143" s="136"/>
      <c r="AA143" s="136"/>
      <c r="AB143" s="136"/>
      <c r="AC143" s="136"/>
      <c r="AD143" s="136"/>
      <c r="AE143" s="136"/>
      <c r="AF143" s="136"/>
      <c r="AG143" s="136">
        <v>1625</v>
      </c>
      <c r="AH143" s="136"/>
      <c r="AI143" s="136"/>
      <c r="AJ143" s="136"/>
      <c r="AK143" s="136"/>
      <c r="AL143" s="136"/>
      <c r="AM143" s="136"/>
      <c r="AN143" s="136"/>
      <c r="AO143" s="136">
        <v>650</v>
      </c>
    </row>
    <row r="144" spans="1:41" ht="15.75" customHeight="1">
      <c r="A144" s="1">
        <v>3111</v>
      </c>
      <c r="B144" s="2">
        <v>43</v>
      </c>
      <c r="C144" s="2">
        <v>930</v>
      </c>
      <c r="D144" s="8">
        <v>70499</v>
      </c>
      <c r="E144" s="167" t="s">
        <v>112</v>
      </c>
      <c r="F144" s="10"/>
      <c r="G144" s="10">
        <v>3500</v>
      </c>
      <c r="H144" s="136"/>
      <c r="I144" s="136">
        <f>'USD 19-21'!J76*69.2</f>
        <v>31832</v>
      </c>
      <c r="J144" s="136"/>
      <c r="K144" s="136"/>
      <c r="L144" s="136"/>
      <c r="M144" s="136">
        <f>'USD 19-21'!L76*72.4</f>
        <v>0</v>
      </c>
      <c r="N144" s="140"/>
      <c r="O144" s="136"/>
      <c r="P144" s="136"/>
      <c r="Q144" s="136">
        <v>250</v>
      </c>
      <c r="R144" s="136"/>
      <c r="S144" s="136"/>
      <c r="T144" s="136"/>
      <c r="U144" s="136"/>
      <c r="V144" s="136"/>
      <c r="W144" s="136"/>
      <c r="X144" s="136"/>
      <c r="Y144" s="136">
        <v>975</v>
      </c>
      <c r="Z144" s="136"/>
      <c r="AA144" s="136"/>
      <c r="AB144" s="136"/>
      <c r="AC144" s="136"/>
      <c r="AD144" s="136"/>
      <c r="AE144" s="136"/>
      <c r="AF144" s="136"/>
      <c r="AG144" s="136">
        <v>1625</v>
      </c>
      <c r="AH144" s="136"/>
      <c r="AI144" s="136"/>
      <c r="AJ144" s="136"/>
      <c r="AK144" s="136"/>
      <c r="AL144" s="136"/>
      <c r="AM144" s="136"/>
      <c r="AN144" s="136"/>
      <c r="AO144" s="136">
        <v>650</v>
      </c>
    </row>
    <row r="145" spans="1:41" ht="16.5">
      <c r="A145" s="1">
        <v>3111</v>
      </c>
      <c r="B145" s="2">
        <v>43</v>
      </c>
      <c r="C145" s="2">
        <v>910</v>
      </c>
      <c r="D145" s="8">
        <v>70499</v>
      </c>
      <c r="E145" s="168" t="s">
        <v>162</v>
      </c>
      <c r="F145" s="10">
        <f>'KGS 16-18'!F120/64.8</f>
        <v>905.8333333333334</v>
      </c>
      <c r="G145" s="10"/>
      <c r="H145" s="136">
        <v>80000</v>
      </c>
      <c r="I145" s="132"/>
      <c r="J145" s="132"/>
      <c r="K145" s="132"/>
      <c r="L145" s="136">
        <v>60000</v>
      </c>
      <c r="M145" s="132"/>
      <c r="N145" s="11">
        <v>40000</v>
      </c>
      <c r="O145" s="11"/>
      <c r="P145" s="136">
        <v>1.5</v>
      </c>
      <c r="Q145" s="136"/>
      <c r="R145" s="136"/>
      <c r="S145" s="136"/>
      <c r="T145" s="136"/>
      <c r="U145" s="136"/>
      <c r="V145" s="136"/>
      <c r="W145" s="136"/>
      <c r="X145" s="136">
        <v>271.33</v>
      </c>
      <c r="Y145" s="136"/>
      <c r="Z145" s="136"/>
      <c r="AA145" s="136"/>
      <c r="AB145" s="136"/>
      <c r="AC145" s="136"/>
      <c r="AD145" s="136"/>
      <c r="AE145" s="136"/>
      <c r="AF145" s="136">
        <v>452.1</v>
      </c>
      <c r="AG145" s="136"/>
      <c r="AH145" s="136"/>
      <c r="AI145" s="136"/>
      <c r="AJ145" s="136"/>
      <c r="AK145" s="136"/>
      <c r="AL145" s="136"/>
      <c r="AM145" s="136"/>
      <c r="AN145" s="136">
        <v>180.9</v>
      </c>
      <c r="AO145" s="136"/>
    </row>
    <row r="146" spans="1:41" ht="16.5">
      <c r="A146" s="1">
        <v>3111</v>
      </c>
      <c r="B146" s="2">
        <v>43</v>
      </c>
      <c r="C146" s="2">
        <v>930</v>
      </c>
      <c r="D146" s="8">
        <v>70499</v>
      </c>
      <c r="E146" s="168" t="s">
        <v>163</v>
      </c>
      <c r="F146" s="10"/>
      <c r="G146" s="10">
        <v>6400</v>
      </c>
      <c r="H146" s="136"/>
      <c r="I146" s="136">
        <f>'USD 19-21'!J78*69.2</f>
        <v>553600</v>
      </c>
      <c r="J146" s="136"/>
      <c r="K146" s="136"/>
      <c r="L146" s="136"/>
      <c r="M146" s="136">
        <f>'USD 19-21'!L78*72.4</f>
        <v>217200.00000000003</v>
      </c>
      <c r="N146" s="137"/>
      <c r="O146" s="136">
        <f>'USD 19-21'!N78*69.2</f>
        <v>0</v>
      </c>
      <c r="P146" s="141"/>
      <c r="Q146" s="136">
        <v>100</v>
      </c>
      <c r="R146" s="141"/>
      <c r="S146" s="141"/>
      <c r="T146" s="141"/>
      <c r="U146" s="141"/>
      <c r="V146" s="141"/>
      <c r="W146" s="141"/>
      <c r="X146" s="141"/>
      <c r="Y146" s="136">
        <v>1890</v>
      </c>
      <c r="Z146" s="136"/>
      <c r="AA146" s="136"/>
      <c r="AB146" s="136"/>
      <c r="AC146" s="136"/>
      <c r="AD146" s="136"/>
      <c r="AE146" s="136"/>
      <c r="AF146" s="136"/>
      <c r="AG146" s="136">
        <v>3150</v>
      </c>
      <c r="AH146" s="136"/>
      <c r="AI146" s="136"/>
      <c r="AJ146" s="136"/>
      <c r="AK146" s="136"/>
      <c r="AL146" s="136"/>
      <c r="AM146" s="136"/>
      <c r="AN146" s="136"/>
      <c r="AO146" s="136">
        <v>1260</v>
      </c>
    </row>
    <row r="147" spans="1:41" s="22" customFormat="1" ht="33">
      <c r="A147" s="1">
        <v>3111</v>
      </c>
      <c r="B147" s="2">
        <v>43</v>
      </c>
      <c r="C147" s="2">
        <v>910</v>
      </c>
      <c r="D147" s="8">
        <v>70499</v>
      </c>
      <c r="E147" s="9" t="s">
        <v>195</v>
      </c>
      <c r="F147" s="10"/>
      <c r="G147" s="10"/>
      <c r="H147" s="136">
        <v>90000</v>
      </c>
      <c r="I147" s="136"/>
      <c r="J147" s="136"/>
      <c r="K147" s="136"/>
      <c r="L147" s="136">
        <v>100000</v>
      </c>
      <c r="M147" s="139"/>
      <c r="N147" s="137">
        <v>80000</v>
      </c>
      <c r="O147" s="136"/>
      <c r="P147" s="138"/>
      <c r="Q147" s="138"/>
      <c r="R147" s="138"/>
      <c r="S147" s="138"/>
      <c r="T147" s="138"/>
      <c r="U147" s="138"/>
      <c r="V147" s="138"/>
      <c r="W147" s="138"/>
      <c r="X147" s="138"/>
      <c r="Y147" s="136"/>
      <c r="Z147" s="136"/>
      <c r="AA147" s="136"/>
      <c r="AB147" s="136"/>
      <c r="AC147" s="136"/>
      <c r="AD147" s="136"/>
      <c r="AE147" s="136"/>
      <c r="AF147" s="136"/>
      <c r="AG147" s="136"/>
      <c r="AH147" s="136"/>
      <c r="AI147" s="136"/>
      <c r="AJ147" s="136"/>
      <c r="AK147" s="136"/>
      <c r="AL147" s="136"/>
      <c r="AM147" s="136"/>
      <c r="AN147" s="136"/>
      <c r="AO147" s="136"/>
    </row>
    <row r="148" spans="1:41" s="22" customFormat="1" ht="33">
      <c r="A148" s="1">
        <v>3111</v>
      </c>
      <c r="B148" s="2">
        <v>43</v>
      </c>
      <c r="C148" s="2">
        <v>930</v>
      </c>
      <c r="D148" s="8">
        <v>70499</v>
      </c>
      <c r="E148" s="168" t="s">
        <v>193</v>
      </c>
      <c r="F148" s="10"/>
      <c r="G148" s="10"/>
      <c r="H148" s="136"/>
      <c r="I148" s="136">
        <f>'USD 19-21'!J80*69.2</f>
        <v>138400</v>
      </c>
      <c r="J148" s="136"/>
      <c r="K148" s="136"/>
      <c r="L148" s="136"/>
      <c r="M148" s="136">
        <f>'USD 19-21'!L80*72.4</f>
        <v>253400.00000000003</v>
      </c>
      <c r="N148" s="140"/>
      <c r="O148" s="136">
        <f>'USD 19-21'!N80*69.2</f>
        <v>242200</v>
      </c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  <c r="AD148" s="135"/>
      <c r="AE148" s="135"/>
      <c r="AF148" s="135"/>
      <c r="AG148" s="135"/>
      <c r="AH148" s="135"/>
      <c r="AI148" s="135"/>
      <c r="AJ148" s="135"/>
      <c r="AK148" s="135"/>
      <c r="AL148" s="135"/>
      <c r="AM148" s="135"/>
      <c r="AN148" s="135"/>
      <c r="AO148" s="136">
        <v>2100</v>
      </c>
    </row>
    <row r="149" spans="1:41" s="22" customFormat="1" ht="33">
      <c r="A149" s="1">
        <v>3111</v>
      </c>
      <c r="B149" s="2">
        <v>43</v>
      </c>
      <c r="C149" s="2">
        <v>930</v>
      </c>
      <c r="D149" s="8">
        <v>70499</v>
      </c>
      <c r="E149" s="168" t="s">
        <v>194</v>
      </c>
      <c r="F149" s="10"/>
      <c r="G149" s="10"/>
      <c r="H149" s="136"/>
      <c r="I149" s="136">
        <f>'USD 19-21'!J81*69.2</f>
        <v>311400</v>
      </c>
      <c r="J149" s="136"/>
      <c r="K149" s="136"/>
      <c r="L149" s="136"/>
      <c r="M149" s="136">
        <f>'USD 19-21'!L81*72.4</f>
        <v>434400.00000000006</v>
      </c>
      <c r="N149" s="140"/>
      <c r="O149" s="136">
        <f>'USD 19-21'!N81*69.2</f>
        <v>380600</v>
      </c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  <c r="AB149" s="136"/>
      <c r="AC149" s="136"/>
      <c r="AD149" s="136"/>
      <c r="AE149" s="136"/>
      <c r="AF149" s="136"/>
      <c r="AG149" s="136"/>
      <c r="AH149" s="136"/>
      <c r="AI149" s="136"/>
      <c r="AJ149" s="136"/>
      <c r="AK149" s="136"/>
      <c r="AL149" s="136"/>
      <c r="AM149" s="136"/>
      <c r="AN149" s="136"/>
      <c r="AO149" s="136">
        <v>3600</v>
      </c>
    </row>
    <row r="150" spans="1:41" ht="33">
      <c r="A150" s="1">
        <v>3111</v>
      </c>
      <c r="B150" s="12">
        <v>43</v>
      </c>
      <c r="C150" s="12">
        <v>910</v>
      </c>
      <c r="D150" s="8">
        <v>70499</v>
      </c>
      <c r="E150" s="58" t="s">
        <v>109</v>
      </c>
      <c r="F150" s="10">
        <f>'KGS 16-18'!F125/64.8</f>
        <v>1473.726851851852</v>
      </c>
      <c r="G150" s="10"/>
      <c r="H150" s="136">
        <v>95000</v>
      </c>
      <c r="I150" s="136"/>
      <c r="J150" s="136"/>
      <c r="K150" s="136"/>
      <c r="L150" s="136"/>
      <c r="M150" s="139"/>
      <c r="N150" s="137"/>
      <c r="O150" s="139"/>
      <c r="P150" s="136">
        <v>463</v>
      </c>
      <c r="Q150" s="136"/>
      <c r="R150" s="136"/>
      <c r="S150" s="136"/>
      <c r="T150" s="136"/>
      <c r="U150" s="136"/>
      <c r="V150" s="136"/>
      <c r="W150" s="136"/>
      <c r="X150" s="136">
        <v>303.23</v>
      </c>
      <c r="Y150" s="136"/>
      <c r="Z150" s="136"/>
      <c r="AA150" s="136"/>
      <c r="AB150" s="136"/>
      <c r="AC150" s="136"/>
      <c r="AD150" s="136"/>
      <c r="AE150" s="136"/>
      <c r="AF150" s="136">
        <v>505.4</v>
      </c>
      <c r="AG150" s="136"/>
      <c r="AH150" s="136"/>
      <c r="AI150" s="136"/>
      <c r="AJ150" s="136"/>
      <c r="AK150" s="136"/>
      <c r="AL150" s="136"/>
      <c r="AM150" s="136"/>
      <c r="AN150" s="136">
        <v>202.1</v>
      </c>
      <c r="AO150" s="136"/>
    </row>
    <row r="151" spans="1:41" ht="18" customHeight="1">
      <c r="A151" s="1">
        <v>3111</v>
      </c>
      <c r="B151" s="12">
        <v>43</v>
      </c>
      <c r="C151" s="12">
        <v>930</v>
      </c>
      <c r="D151" s="8">
        <v>70499</v>
      </c>
      <c r="E151" s="167" t="s">
        <v>44</v>
      </c>
      <c r="F151" s="10"/>
      <c r="G151" s="10">
        <v>3947.2</v>
      </c>
      <c r="H151" s="136"/>
      <c r="I151" s="136" t="e">
        <f>'USD 19-21'!#REF!*69.2</f>
        <v>#REF!</v>
      </c>
      <c r="J151" s="136"/>
      <c r="K151" s="136"/>
      <c r="L151" s="146"/>
      <c r="M151" s="136"/>
      <c r="N151" s="140"/>
      <c r="O151" s="136"/>
      <c r="P151" s="136"/>
      <c r="Q151" s="136">
        <v>420</v>
      </c>
      <c r="R151" s="136"/>
      <c r="S151" s="136"/>
      <c r="T151" s="136"/>
      <c r="U151" s="136"/>
      <c r="V151" s="136"/>
      <c r="W151" s="136"/>
      <c r="X151" s="136"/>
      <c r="Y151" s="136" t="e">
        <f>(I151-Q151)*30/100</f>
        <v>#REF!</v>
      </c>
      <c r="Z151" s="136"/>
      <c r="AA151" s="136"/>
      <c r="AB151" s="136"/>
      <c r="AC151" s="136"/>
      <c r="AD151" s="136"/>
      <c r="AE151" s="136"/>
      <c r="AF151" s="136"/>
      <c r="AG151" s="136" t="e">
        <f>(I151-Q151)*50/100</f>
        <v>#REF!</v>
      </c>
      <c r="AH151" s="136"/>
      <c r="AI151" s="136"/>
      <c r="AJ151" s="136"/>
      <c r="AK151" s="136"/>
      <c r="AL151" s="136"/>
      <c r="AM151" s="136"/>
      <c r="AN151" s="136"/>
      <c r="AO151" s="136" t="e">
        <f>(I151-Q151)*20/100</f>
        <v>#REF!</v>
      </c>
    </row>
    <row r="152" spans="1:41" ht="16.5">
      <c r="A152" s="1">
        <v>3111</v>
      </c>
      <c r="B152" s="12">
        <v>43</v>
      </c>
      <c r="C152" s="12">
        <v>930</v>
      </c>
      <c r="D152" s="8">
        <v>70499</v>
      </c>
      <c r="E152" s="167" t="s">
        <v>45</v>
      </c>
      <c r="F152" s="10"/>
      <c r="G152" s="10">
        <v>3738.8</v>
      </c>
      <c r="H152" s="136"/>
      <c r="I152" s="136">
        <f>'USD 19-21'!J83*69.2</f>
        <v>20760</v>
      </c>
      <c r="J152" s="136"/>
      <c r="K152" s="136"/>
      <c r="L152" s="146"/>
      <c r="M152" s="136"/>
      <c r="N152" s="140"/>
      <c r="O152" s="136"/>
      <c r="P152" s="141"/>
      <c r="Q152" s="136">
        <v>460</v>
      </c>
      <c r="R152" s="141"/>
      <c r="S152" s="141"/>
      <c r="T152" s="141"/>
      <c r="U152" s="141"/>
      <c r="V152" s="141"/>
      <c r="W152" s="141"/>
      <c r="X152" s="141"/>
      <c r="Y152" s="136">
        <f>(I152-Q152)*30/100</f>
        <v>6090</v>
      </c>
      <c r="Z152" s="141"/>
      <c r="AA152" s="141"/>
      <c r="AB152" s="141"/>
      <c r="AC152" s="141"/>
      <c r="AD152" s="141"/>
      <c r="AE152" s="141"/>
      <c r="AF152" s="141"/>
      <c r="AG152" s="136">
        <f>(I152-Q152)*50/100</f>
        <v>10150</v>
      </c>
      <c r="AH152" s="141"/>
      <c r="AI152" s="141"/>
      <c r="AJ152" s="141"/>
      <c r="AK152" s="141"/>
      <c r="AL152" s="141"/>
      <c r="AM152" s="141"/>
      <c r="AN152" s="141"/>
      <c r="AO152" s="136">
        <f>(I152-Q152)*20/100</f>
        <v>4060</v>
      </c>
    </row>
    <row r="153" spans="1:41" ht="16.5">
      <c r="A153" s="1">
        <v>3111</v>
      </c>
      <c r="B153" s="12">
        <v>43</v>
      </c>
      <c r="C153" s="12">
        <v>930</v>
      </c>
      <c r="D153" s="8">
        <v>70499</v>
      </c>
      <c r="E153" s="167" t="s">
        <v>114</v>
      </c>
      <c r="F153" s="10"/>
      <c r="G153" s="10">
        <v>3007</v>
      </c>
      <c r="H153" s="136"/>
      <c r="I153" s="136">
        <f>'USD 19-21'!J84*69.2</f>
        <v>4844</v>
      </c>
      <c r="J153" s="136"/>
      <c r="K153" s="136"/>
      <c r="L153" s="146"/>
      <c r="M153" s="136"/>
      <c r="N153" s="140"/>
      <c r="O153" s="136"/>
      <c r="P153" s="138"/>
      <c r="Q153" s="136">
        <v>480</v>
      </c>
      <c r="R153" s="138"/>
      <c r="S153" s="138"/>
      <c r="T153" s="138"/>
      <c r="U153" s="138"/>
      <c r="V153" s="138"/>
      <c r="W153" s="138"/>
      <c r="X153" s="138"/>
      <c r="Y153" s="136">
        <f>(I153-Q153)*30/100</f>
        <v>1309.2</v>
      </c>
      <c r="Z153" s="138"/>
      <c r="AA153" s="138"/>
      <c r="AB153" s="138"/>
      <c r="AC153" s="138"/>
      <c r="AD153" s="138"/>
      <c r="AE153" s="138"/>
      <c r="AF153" s="138"/>
      <c r="AG153" s="136">
        <f>(I153-Q153)*50/100</f>
        <v>2182</v>
      </c>
      <c r="AH153" s="138"/>
      <c r="AI153" s="138"/>
      <c r="AJ153" s="138"/>
      <c r="AK153" s="138"/>
      <c r="AL153" s="138"/>
      <c r="AM153" s="138"/>
      <c r="AN153" s="138"/>
      <c r="AO153" s="136">
        <f>(I153-Q153)*20/100</f>
        <v>872.8</v>
      </c>
    </row>
    <row r="154" spans="1:41" ht="16.5">
      <c r="A154" s="1">
        <v>3111</v>
      </c>
      <c r="B154" s="12">
        <v>43</v>
      </c>
      <c r="C154" s="12">
        <v>930</v>
      </c>
      <c r="D154" s="8">
        <v>70499</v>
      </c>
      <c r="E154" s="167" t="s">
        <v>47</v>
      </c>
      <c r="F154" s="10"/>
      <c r="G154" s="10">
        <v>1245.3</v>
      </c>
      <c r="H154" s="136"/>
      <c r="I154" s="136">
        <f>'USD 19-21'!J85*69.2</f>
        <v>2954.84</v>
      </c>
      <c r="J154" s="136"/>
      <c r="K154" s="136"/>
      <c r="L154" s="146"/>
      <c r="M154" s="136"/>
      <c r="N154" s="140"/>
      <c r="O154" s="136"/>
      <c r="P154" s="135"/>
      <c r="Q154" s="136">
        <v>160</v>
      </c>
      <c r="R154" s="135"/>
      <c r="S154" s="135"/>
      <c r="T154" s="135"/>
      <c r="U154" s="135"/>
      <c r="V154" s="135"/>
      <c r="W154" s="135"/>
      <c r="X154" s="135"/>
      <c r="Y154" s="136">
        <f>(I154-Q154)*30/100</f>
        <v>838.4520000000001</v>
      </c>
      <c r="Z154" s="135"/>
      <c r="AA154" s="135"/>
      <c r="AB154" s="135"/>
      <c r="AC154" s="135"/>
      <c r="AD154" s="135"/>
      <c r="AE154" s="135"/>
      <c r="AF154" s="135"/>
      <c r="AG154" s="136">
        <f>(I154-Q154)*50/100</f>
        <v>1397.42</v>
      </c>
      <c r="AH154" s="135"/>
      <c r="AI154" s="135"/>
      <c r="AJ154" s="135"/>
      <c r="AK154" s="135"/>
      <c r="AL154" s="135"/>
      <c r="AM154" s="135"/>
      <c r="AN154" s="135"/>
      <c r="AO154" s="136">
        <f>(I154-Q154)*20/100</f>
        <v>558.9680000000001</v>
      </c>
    </row>
    <row r="155" spans="1:41" ht="16.5">
      <c r="A155" s="1">
        <v>3111</v>
      </c>
      <c r="B155" s="12">
        <v>43</v>
      </c>
      <c r="C155" s="12">
        <v>930</v>
      </c>
      <c r="D155" s="8">
        <v>70499</v>
      </c>
      <c r="E155" s="167" t="s">
        <v>46</v>
      </c>
      <c r="F155" s="10"/>
      <c r="G155" s="10">
        <v>3792.9</v>
      </c>
      <c r="H155" s="136"/>
      <c r="I155" s="136">
        <f>'USD 19-21'!J86*69.2</f>
        <v>5570.6</v>
      </c>
      <c r="J155" s="136"/>
      <c r="K155" s="136"/>
      <c r="L155" s="146"/>
      <c r="M155" s="136"/>
      <c r="N155" s="140"/>
      <c r="O155" s="136"/>
      <c r="P155" s="136"/>
      <c r="Q155" s="136">
        <v>480</v>
      </c>
      <c r="R155" s="136"/>
      <c r="S155" s="136"/>
      <c r="T155" s="136"/>
      <c r="U155" s="136"/>
      <c r="V155" s="136"/>
      <c r="W155" s="136"/>
      <c r="X155" s="136"/>
      <c r="Y155" s="136">
        <f>(I155-Q155)*30/100</f>
        <v>1527.18</v>
      </c>
      <c r="Z155" s="136"/>
      <c r="AA155" s="136"/>
      <c r="AB155" s="136"/>
      <c r="AC155" s="136"/>
      <c r="AD155" s="136"/>
      <c r="AE155" s="136"/>
      <c r="AF155" s="136"/>
      <c r="AG155" s="136">
        <f>(I155-Q155)*50/100</f>
        <v>2545.3</v>
      </c>
      <c r="AH155" s="136"/>
      <c r="AI155" s="136"/>
      <c r="AJ155" s="136"/>
      <c r="AK155" s="136"/>
      <c r="AL155" s="136"/>
      <c r="AM155" s="136"/>
      <c r="AN155" s="136"/>
      <c r="AO155" s="136">
        <f>(I155-Q155)*20/100</f>
        <v>1018.12</v>
      </c>
    </row>
    <row r="156" spans="1:41" ht="33">
      <c r="A156" s="1">
        <v>3111</v>
      </c>
      <c r="B156" s="12">
        <v>43</v>
      </c>
      <c r="C156" s="12">
        <v>910</v>
      </c>
      <c r="D156" s="8">
        <v>70499</v>
      </c>
      <c r="E156" s="58" t="s">
        <v>115</v>
      </c>
      <c r="F156" s="10">
        <f>'KGS 16-18'!F131/64.8</f>
        <v>77.1604938271605</v>
      </c>
      <c r="G156" s="10"/>
      <c r="H156" s="136">
        <v>1224.9</v>
      </c>
      <c r="I156" s="136"/>
      <c r="J156" s="136"/>
      <c r="K156" s="136"/>
      <c r="L156" s="146">
        <v>177.8</v>
      </c>
      <c r="M156" s="136"/>
      <c r="N156" s="140"/>
      <c r="O156" s="136"/>
      <c r="P156" s="136">
        <v>21.3</v>
      </c>
      <c r="Q156" s="136"/>
      <c r="R156" s="136"/>
      <c r="S156" s="136"/>
      <c r="T156" s="136"/>
      <c r="U156" s="136"/>
      <c r="V156" s="136"/>
      <c r="W156" s="136"/>
      <c r="X156" s="136">
        <v>55.86</v>
      </c>
      <c r="Y156" s="136"/>
      <c r="Z156" s="136"/>
      <c r="AA156" s="136"/>
      <c r="AB156" s="136"/>
      <c r="AC156" s="136"/>
      <c r="AD156" s="136"/>
      <c r="AE156" s="136"/>
      <c r="AF156" s="136"/>
      <c r="AG156" s="136"/>
      <c r="AH156" s="136"/>
      <c r="AI156" s="136"/>
      <c r="AJ156" s="136"/>
      <c r="AK156" s="136"/>
      <c r="AL156" s="136"/>
      <c r="AM156" s="136"/>
      <c r="AN156" s="136"/>
      <c r="AO156" s="136"/>
    </row>
    <row r="157" spans="1:41" ht="33">
      <c r="A157" s="1">
        <v>3111</v>
      </c>
      <c r="B157" s="12">
        <v>43</v>
      </c>
      <c r="C157" s="12">
        <v>930</v>
      </c>
      <c r="D157" s="8">
        <v>70499</v>
      </c>
      <c r="E157" s="167" t="s">
        <v>116</v>
      </c>
      <c r="F157" s="10"/>
      <c r="G157" s="10">
        <v>100</v>
      </c>
      <c r="H157" s="136"/>
      <c r="I157" s="136" t="e">
        <f>'USD 19-21'!#REF!*69.2</f>
        <v>#REF!</v>
      </c>
      <c r="J157" s="136"/>
      <c r="K157" s="136"/>
      <c r="L157" s="146"/>
      <c r="M157" s="136" t="e">
        <f>'USD 19-21'!#REF!*72.4</f>
        <v>#REF!</v>
      </c>
      <c r="N157" s="140"/>
      <c r="O157" s="136"/>
      <c r="P157" s="136"/>
      <c r="Q157" s="136">
        <v>79.1</v>
      </c>
      <c r="R157" s="136"/>
      <c r="S157" s="136"/>
      <c r="T157" s="136"/>
      <c r="U157" s="136"/>
      <c r="V157" s="136"/>
      <c r="W157" s="136"/>
      <c r="X157" s="136"/>
      <c r="Y157" s="136">
        <v>381.3</v>
      </c>
      <c r="Z157" s="136"/>
      <c r="AA157" s="136"/>
      <c r="AB157" s="136"/>
      <c r="AC157" s="136"/>
      <c r="AD157" s="136"/>
      <c r="AE157" s="136"/>
      <c r="AF157" s="136"/>
      <c r="AG157" s="136">
        <f>602.6+13</f>
        <v>615.6</v>
      </c>
      <c r="AH157" s="136"/>
      <c r="AI157" s="136"/>
      <c r="AJ157" s="136"/>
      <c r="AK157" s="136"/>
      <c r="AL157" s="136"/>
      <c r="AM157" s="136"/>
      <c r="AN157" s="136"/>
      <c r="AO157" s="136">
        <f>650.9+435</f>
        <v>1085.9</v>
      </c>
    </row>
    <row r="158" spans="1:41" ht="33" customHeight="1">
      <c r="A158" s="1">
        <v>3111</v>
      </c>
      <c r="B158" s="12">
        <v>43</v>
      </c>
      <c r="C158" s="12">
        <v>910</v>
      </c>
      <c r="D158" s="8">
        <v>70499</v>
      </c>
      <c r="E158" s="58" t="s">
        <v>205</v>
      </c>
      <c r="F158" s="10">
        <f>'KGS 16-18'!F133/64.8</f>
        <v>2108.024691358025</v>
      </c>
      <c r="G158" s="10"/>
      <c r="H158" s="136">
        <v>4946.4</v>
      </c>
      <c r="I158" s="136"/>
      <c r="J158" s="136"/>
      <c r="K158" s="136"/>
      <c r="L158" s="136"/>
      <c r="M158" s="139"/>
      <c r="N158" s="137"/>
      <c r="O158" s="136"/>
      <c r="P158" s="136">
        <v>2884.7</v>
      </c>
      <c r="Q158" s="136"/>
      <c r="R158" s="136"/>
      <c r="S158" s="136"/>
      <c r="T158" s="136"/>
      <c r="U158" s="136"/>
      <c r="V158" s="136"/>
      <c r="W158" s="136"/>
      <c r="X158" s="136">
        <v>910.2</v>
      </c>
      <c r="Y158" s="136"/>
      <c r="Z158" s="136"/>
      <c r="AA158" s="136"/>
      <c r="AB158" s="136"/>
      <c r="AC158" s="136"/>
      <c r="AD158" s="136"/>
      <c r="AE158" s="136"/>
      <c r="AF158" s="136">
        <f>33.3+2.02</f>
        <v>35.32</v>
      </c>
      <c r="AG158" s="136"/>
      <c r="AH158" s="136"/>
      <c r="AI158" s="136"/>
      <c r="AJ158" s="136"/>
      <c r="AK158" s="136"/>
      <c r="AL158" s="136"/>
      <c r="AM158" s="136"/>
      <c r="AN158" s="136">
        <v>27.8</v>
      </c>
      <c r="AO158" s="136"/>
    </row>
    <row r="159" spans="1:41" ht="33" customHeight="1">
      <c r="A159" s="1">
        <v>3111</v>
      </c>
      <c r="B159" s="12">
        <v>43</v>
      </c>
      <c r="C159" s="12">
        <v>920</v>
      </c>
      <c r="D159" s="8">
        <v>70499</v>
      </c>
      <c r="E159" s="58" t="s">
        <v>207</v>
      </c>
      <c r="F159" s="10"/>
      <c r="G159" s="10">
        <v>2943.2</v>
      </c>
      <c r="H159" s="136"/>
      <c r="I159" s="136"/>
      <c r="J159" s="136"/>
      <c r="K159" s="136"/>
      <c r="L159" s="136"/>
      <c r="M159" s="139"/>
      <c r="N159" s="137"/>
      <c r="O159" s="136"/>
      <c r="P159" s="136"/>
      <c r="Q159" s="136">
        <v>1823.8</v>
      </c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  <c r="AB159" s="136"/>
      <c r="AC159" s="136"/>
      <c r="AD159" s="136"/>
      <c r="AE159" s="136"/>
      <c r="AF159" s="136"/>
      <c r="AG159" s="136">
        <v>242.8</v>
      </c>
      <c r="AH159" s="136"/>
      <c r="AI159" s="136"/>
      <c r="AJ159" s="136"/>
      <c r="AK159" s="136"/>
      <c r="AL159" s="136"/>
      <c r="AM159" s="136"/>
      <c r="AN159" s="136"/>
      <c r="AO159" s="136"/>
    </row>
    <row r="160" spans="1:41" ht="32.25" customHeight="1">
      <c r="A160" s="1">
        <v>3111</v>
      </c>
      <c r="B160" s="12">
        <v>43</v>
      </c>
      <c r="C160" s="12">
        <v>930</v>
      </c>
      <c r="D160" s="8">
        <v>70499</v>
      </c>
      <c r="E160" s="167" t="s">
        <v>206</v>
      </c>
      <c r="F160" s="10"/>
      <c r="G160" s="10">
        <v>5632.7</v>
      </c>
      <c r="H160" s="136"/>
      <c r="I160" s="136" t="e">
        <f>'USD 19-21'!#REF!*69.2</f>
        <v>#REF!</v>
      </c>
      <c r="J160" s="136"/>
      <c r="K160" s="136"/>
      <c r="L160" s="136"/>
      <c r="M160" s="136"/>
      <c r="N160" s="137"/>
      <c r="O160" s="136"/>
      <c r="P160" s="136"/>
      <c r="Q160" s="136">
        <f>2853.8</f>
        <v>2853.8</v>
      </c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  <c r="AB160" s="136"/>
      <c r="AC160" s="136"/>
      <c r="AD160" s="136"/>
      <c r="AE160" s="136"/>
      <c r="AF160" s="136"/>
      <c r="AG160" s="136">
        <f>3510.9</f>
        <v>3510.9</v>
      </c>
      <c r="AH160" s="136"/>
      <c r="AI160" s="136"/>
      <c r="AJ160" s="136"/>
      <c r="AK160" s="136"/>
      <c r="AL160" s="136"/>
      <c r="AM160" s="136"/>
      <c r="AN160" s="136"/>
      <c r="AO160" s="136"/>
    </row>
    <row r="161" spans="1:41" ht="33">
      <c r="A161" s="1">
        <v>3111</v>
      </c>
      <c r="B161" s="12">
        <v>43</v>
      </c>
      <c r="C161" s="12">
        <v>930</v>
      </c>
      <c r="D161" s="8">
        <v>70499</v>
      </c>
      <c r="E161" s="167" t="s">
        <v>117</v>
      </c>
      <c r="F161" s="10"/>
      <c r="G161" s="10">
        <v>12982.6</v>
      </c>
      <c r="H161" s="136"/>
      <c r="I161" s="136" t="e">
        <f>'USD 19-21'!#REF!*69.2</f>
        <v>#REF!</v>
      </c>
      <c r="J161" s="136"/>
      <c r="K161" s="136"/>
      <c r="L161" s="136"/>
      <c r="M161" s="136"/>
      <c r="N161" s="137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  <c r="AB161" s="136"/>
      <c r="AC161" s="136"/>
      <c r="AD161" s="136"/>
      <c r="AE161" s="136"/>
      <c r="AF161" s="136"/>
      <c r="AG161" s="136">
        <v>12982.6</v>
      </c>
      <c r="AH161" s="136"/>
      <c r="AI161" s="136"/>
      <c r="AJ161" s="136"/>
      <c r="AK161" s="136"/>
      <c r="AL161" s="136"/>
      <c r="AM161" s="136"/>
      <c r="AN161" s="136"/>
      <c r="AO161" s="136"/>
    </row>
    <row r="162" spans="1:41" ht="33">
      <c r="A162" s="1">
        <v>3111</v>
      </c>
      <c r="B162" s="12">
        <v>43</v>
      </c>
      <c r="C162" s="12">
        <v>910</v>
      </c>
      <c r="D162" s="8">
        <v>70499</v>
      </c>
      <c r="E162" s="58" t="s">
        <v>118</v>
      </c>
      <c r="F162" s="10">
        <f>'KGS 16-18'!F137/64.8</f>
        <v>1540.7407407407409</v>
      </c>
      <c r="G162" s="10"/>
      <c r="H162" s="136">
        <v>396204.6</v>
      </c>
      <c r="I162" s="136"/>
      <c r="J162" s="136"/>
      <c r="K162" s="136"/>
      <c r="L162" s="136">
        <v>366633.6</v>
      </c>
      <c r="M162" s="139"/>
      <c r="N162" s="137">
        <v>254558.4</v>
      </c>
      <c r="O162" s="139"/>
      <c r="P162" s="136">
        <v>15.7</v>
      </c>
      <c r="Q162" s="136"/>
      <c r="R162" s="136"/>
      <c r="S162" s="136"/>
      <c r="T162" s="136"/>
      <c r="U162" s="136"/>
      <c r="V162" s="136"/>
      <c r="W162" s="136"/>
      <c r="X162" s="136">
        <v>1475.5</v>
      </c>
      <c r="Y162" s="136"/>
      <c r="Z162" s="136"/>
      <c r="AA162" s="136"/>
      <c r="AB162" s="136"/>
      <c r="AC162" s="136"/>
      <c r="AD162" s="136"/>
      <c r="AE162" s="136"/>
      <c r="AF162" s="136">
        <v>25.7</v>
      </c>
      <c r="AG162" s="136"/>
      <c r="AH162" s="136"/>
      <c r="AI162" s="136"/>
      <c r="AJ162" s="136"/>
      <c r="AK162" s="136"/>
      <c r="AL162" s="136"/>
      <c r="AM162" s="136"/>
      <c r="AN162" s="136">
        <f>23.9-0.06</f>
        <v>23.84</v>
      </c>
      <c r="AO162" s="136"/>
    </row>
    <row r="163" spans="1:41" ht="33">
      <c r="A163" s="1">
        <v>3111</v>
      </c>
      <c r="B163" s="12">
        <v>43</v>
      </c>
      <c r="C163" s="12">
        <v>920</v>
      </c>
      <c r="D163" s="8">
        <v>70499</v>
      </c>
      <c r="E163" s="85" t="s">
        <v>119</v>
      </c>
      <c r="F163" s="10"/>
      <c r="G163" s="10">
        <v>3280</v>
      </c>
      <c r="H163" s="136"/>
      <c r="I163" s="136">
        <f>'USD 19-21'!J88*69.2</f>
        <v>380600</v>
      </c>
      <c r="J163" s="136"/>
      <c r="K163" s="136"/>
      <c r="L163" s="136"/>
      <c r="M163" s="136">
        <f>'USD 19-21'!L88*72.4</f>
        <v>345919.96</v>
      </c>
      <c r="N163" s="137"/>
      <c r="O163" s="136">
        <f>'USD 19-21'!N88*69.2</f>
        <v>31098.48</v>
      </c>
      <c r="P163" s="136"/>
      <c r="Q163" s="136">
        <v>146</v>
      </c>
      <c r="R163" s="136"/>
      <c r="S163" s="136"/>
      <c r="T163" s="136"/>
      <c r="U163" s="136"/>
      <c r="V163" s="136"/>
      <c r="W163" s="136"/>
      <c r="X163" s="136"/>
      <c r="Y163" s="136">
        <v>3637.1</v>
      </c>
      <c r="Z163" s="136"/>
      <c r="AA163" s="136"/>
      <c r="AB163" s="136"/>
      <c r="AC163" s="136"/>
      <c r="AD163" s="136"/>
      <c r="AE163" s="136"/>
      <c r="AF163" s="136"/>
      <c r="AG163" s="136">
        <f>734+0.1</f>
        <v>734.1</v>
      </c>
      <c r="AH163" s="136"/>
      <c r="AI163" s="136"/>
      <c r="AJ163" s="136"/>
      <c r="AK163" s="136"/>
      <c r="AL163" s="136"/>
      <c r="AM163" s="136"/>
      <c r="AN163" s="136"/>
      <c r="AO163" s="136">
        <v>1410.9</v>
      </c>
    </row>
    <row r="164" spans="1:41" ht="33">
      <c r="A164" s="1">
        <v>3111</v>
      </c>
      <c r="B164" s="12">
        <v>43</v>
      </c>
      <c r="C164" s="12">
        <v>930</v>
      </c>
      <c r="D164" s="8">
        <v>70499</v>
      </c>
      <c r="E164" s="167" t="s">
        <v>120</v>
      </c>
      <c r="F164" s="10"/>
      <c r="G164" s="10">
        <v>6000</v>
      </c>
      <c r="H164" s="136"/>
      <c r="I164" s="136">
        <f>'USD 19-21'!J89*69.2</f>
        <v>830400</v>
      </c>
      <c r="J164" s="136"/>
      <c r="K164" s="136"/>
      <c r="L164" s="136"/>
      <c r="M164" s="136">
        <f>'USD 19-21'!L89*72.4</f>
        <v>908591.0400000002</v>
      </c>
      <c r="N164" s="137"/>
      <c r="O164" s="136">
        <f>'USD 19-21'!N89*69.2</f>
        <v>83040</v>
      </c>
      <c r="P164" s="136"/>
      <c r="Q164" s="136"/>
      <c r="R164" s="136"/>
      <c r="S164" s="136"/>
      <c r="T164" s="136"/>
      <c r="U164" s="136"/>
      <c r="V164" s="136"/>
      <c r="W164" s="136"/>
      <c r="X164" s="136"/>
      <c r="Y164" s="136">
        <v>8285.4</v>
      </c>
      <c r="Z164" s="136"/>
      <c r="AA164" s="136"/>
      <c r="AB164" s="136"/>
      <c r="AC164" s="136"/>
      <c r="AD164" s="136"/>
      <c r="AE164" s="136"/>
      <c r="AF164" s="136"/>
      <c r="AG164" s="136"/>
      <c r="AH164" s="136"/>
      <c r="AI164" s="136"/>
      <c r="AJ164" s="136"/>
      <c r="AK164" s="136"/>
      <c r="AL164" s="136"/>
      <c r="AM164" s="136"/>
      <c r="AN164" s="136"/>
      <c r="AO164" s="136">
        <v>540</v>
      </c>
    </row>
    <row r="165" spans="1:41" ht="16.5">
      <c r="A165" s="1">
        <v>3111</v>
      </c>
      <c r="B165" s="12">
        <v>43</v>
      </c>
      <c r="C165" s="12">
        <v>910</v>
      </c>
      <c r="D165" s="8">
        <v>70499</v>
      </c>
      <c r="E165" s="58" t="s">
        <v>121</v>
      </c>
      <c r="F165" s="10">
        <f>'KGS 16-18'!F140/64.8</f>
        <v>5895.072530864198</v>
      </c>
      <c r="G165" s="10"/>
      <c r="H165" s="136">
        <v>242200</v>
      </c>
      <c r="I165" s="136"/>
      <c r="J165" s="136"/>
      <c r="K165" s="136"/>
      <c r="L165" s="136">
        <v>217200</v>
      </c>
      <c r="M165" s="139"/>
      <c r="N165" s="137">
        <v>219299.6</v>
      </c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  <c r="AB165" s="136"/>
      <c r="AC165" s="136"/>
      <c r="AD165" s="136"/>
      <c r="AE165" s="136"/>
      <c r="AF165" s="136">
        <v>2470.99</v>
      </c>
      <c r="AG165" s="136"/>
      <c r="AH165" s="136"/>
      <c r="AI165" s="136"/>
      <c r="AJ165" s="136"/>
      <c r="AK165" s="136"/>
      <c r="AL165" s="136"/>
      <c r="AM165" s="136"/>
      <c r="AN165" s="136"/>
      <c r="AO165" s="136"/>
    </row>
    <row r="166" spans="1:41" ht="33">
      <c r="A166" s="1">
        <v>3111</v>
      </c>
      <c r="B166" s="12">
        <v>43</v>
      </c>
      <c r="C166" s="12">
        <v>930</v>
      </c>
      <c r="D166" s="8">
        <v>70499</v>
      </c>
      <c r="E166" s="167" t="s">
        <v>122</v>
      </c>
      <c r="F166" s="10"/>
      <c r="G166" s="10">
        <v>50000</v>
      </c>
      <c r="H166" s="136"/>
      <c r="I166" s="136">
        <f>'USD 19-21'!J91*69.2</f>
        <v>657400</v>
      </c>
      <c r="J166" s="136"/>
      <c r="K166" s="136"/>
      <c r="L166" s="136"/>
      <c r="M166" s="136">
        <f>'USD 19-21'!L91*72.4</f>
        <v>1276426.4800000002</v>
      </c>
      <c r="N166" s="137"/>
      <c r="O166" s="136">
        <f>'USD 19-21'!N91*69.2</f>
        <v>646016.6</v>
      </c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  <c r="AB166" s="136"/>
      <c r="AC166" s="136"/>
      <c r="AD166" s="136"/>
      <c r="AE166" s="136"/>
      <c r="AF166" s="136"/>
      <c r="AG166" s="136">
        <v>9000</v>
      </c>
      <c r="AH166" s="136"/>
      <c r="AI166" s="136"/>
      <c r="AJ166" s="136"/>
      <c r="AK166" s="136"/>
      <c r="AL166" s="136"/>
      <c r="AM166" s="136"/>
      <c r="AN166" s="136"/>
      <c r="AO166" s="136"/>
    </row>
    <row r="167" spans="1:41" ht="33">
      <c r="A167" s="1">
        <v>3111</v>
      </c>
      <c r="B167" s="12">
        <v>43</v>
      </c>
      <c r="C167" s="12">
        <v>910</v>
      </c>
      <c r="D167" s="8">
        <v>70499</v>
      </c>
      <c r="E167" s="58" t="s">
        <v>123</v>
      </c>
      <c r="F167" s="10">
        <f>'KGS 16-18'!F142/64.8</f>
        <v>1444.4444444444446</v>
      </c>
      <c r="G167" s="10"/>
      <c r="H167" s="136">
        <v>240975.9</v>
      </c>
      <c r="I167" s="136"/>
      <c r="J167" s="136"/>
      <c r="K167" s="136"/>
      <c r="L167" s="136">
        <v>76035.9</v>
      </c>
      <c r="M167" s="137"/>
      <c r="N167" s="136">
        <v>24456</v>
      </c>
      <c r="O167" s="136"/>
      <c r="P167" s="136" t="e">
        <f>#REF!</f>
        <v>#REF!</v>
      </c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  <c r="AB167" s="136"/>
      <c r="AC167" s="136"/>
      <c r="AD167" s="136"/>
      <c r="AE167" s="136"/>
      <c r="AF167" s="136"/>
      <c r="AG167" s="136"/>
      <c r="AH167" s="136"/>
      <c r="AI167" s="136"/>
      <c r="AJ167" s="136"/>
      <c r="AK167" s="136"/>
      <c r="AL167" s="136"/>
      <c r="AM167" s="136"/>
      <c r="AN167" s="136"/>
      <c r="AO167" s="136"/>
    </row>
    <row r="168" spans="1:41" ht="33">
      <c r="A168" s="1">
        <v>3111</v>
      </c>
      <c r="B168" s="12">
        <v>43</v>
      </c>
      <c r="C168" s="12">
        <v>920</v>
      </c>
      <c r="D168" s="8">
        <v>70499</v>
      </c>
      <c r="E168" s="85" t="s">
        <v>124</v>
      </c>
      <c r="F168" s="10"/>
      <c r="G168" s="10">
        <v>1000</v>
      </c>
      <c r="H168" s="136"/>
      <c r="I168" s="136">
        <f>'USD 19-21'!J93*69.2</f>
        <v>23922.44</v>
      </c>
      <c r="J168" s="136"/>
      <c r="K168" s="136"/>
      <c r="L168" s="136"/>
      <c r="M168" s="136">
        <f>'USD 19-21'!L93*72.4</f>
        <v>0</v>
      </c>
      <c r="N168" s="11"/>
      <c r="O168" s="136">
        <f>'USD 19-21'!N93*69.2</f>
        <v>0</v>
      </c>
      <c r="P168" s="141"/>
      <c r="Q168" s="136">
        <v>3181.9</v>
      </c>
      <c r="R168" s="141"/>
      <c r="S168" s="136"/>
      <c r="T168" s="136"/>
      <c r="U168" s="136"/>
      <c r="V168" s="136"/>
      <c r="W168" s="136"/>
      <c r="X168" s="141"/>
      <c r="Y168" s="136"/>
      <c r="Z168" s="136"/>
      <c r="AA168" s="136"/>
      <c r="AB168" s="136"/>
      <c r="AC168" s="136"/>
      <c r="AD168" s="136"/>
      <c r="AE168" s="136"/>
      <c r="AF168" s="141"/>
      <c r="AG168" s="136"/>
      <c r="AH168" s="141"/>
      <c r="AI168" s="136"/>
      <c r="AJ168" s="136"/>
      <c r="AK168" s="136"/>
      <c r="AL168" s="136"/>
      <c r="AM168" s="136"/>
      <c r="AN168" s="141"/>
      <c r="AO168" s="136"/>
    </row>
    <row r="169" spans="1:41" ht="33">
      <c r="A169" s="1">
        <v>3111</v>
      </c>
      <c r="B169" s="12">
        <v>43</v>
      </c>
      <c r="C169" s="12">
        <v>930</v>
      </c>
      <c r="D169" s="8">
        <v>70499</v>
      </c>
      <c r="E169" s="167" t="s">
        <v>125</v>
      </c>
      <c r="F169" s="10"/>
      <c r="G169" s="10">
        <v>8000</v>
      </c>
      <c r="H169" s="136"/>
      <c r="I169" s="136">
        <f>'USD 19-21'!J94*69.2</f>
        <v>242200</v>
      </c>
      <c r="J169" s="136"/>
      <c r="K169" s="136"/>
      <c r="L169" s="136"/>
      <c r="M169" s="136">
        <f>'USD 19-21'!L94*72.4</f>
        <v>0</v>
      </c>
      <c r="N169" s="137"/>
      <c r="O169" s="136">
        <f>'USD 19-21'!N94*69.2</f>
        <v>0</v>
      </c>
      <c r="P169" s="138"/>
      <c r="Q169" s="136">
        <v>1465.5</v>
      </c>
      <c r="R169" s="141"/>
      <c r="S169" s="136"/>
      <c r="T169" s="136"/>
      <c r="U169" s="136"/>
      <c r="V169" s="136"/>
      <c r="W169" s="136"/>
      <c r="X169" s="141"/>
      <c r="Y169" s="136"/>
      <c r="Z169" s="136"/>
      <c r="AA169" s="136"/>
      <c r="AB169" s="136"/>
      <c r="AC169" s="136"/>
      <c r="AD169" s="136"/>
      <c r="AE169" s="136"/>
      <c r="AF169" s="141"/>
      <c r="AG169" s="136"/>
      <c r="AH169" s="141"/>
      <c r="AI169" s="136"/>
      <c r="AJ169" s="136"/>
      <c r="AK169" s="136"/>
      <c r="AL169" s="136"/>
      <c r="AM169" s="136"/>
      <c r="AN169" s="141"/>
      <c r="AO169" s="136"/>
    </row>
    <row r="170" spans="1:41" ht="16.5">
      <c r="A170" s="1">
        <v>3111</v>
      </c>
      <c r="B170" s="12">
        <v>43</v>
      </c>
      <c r="C170" s="12">
        <v>930</v>
      </c>
      <c r="D170" s="12">
        <v>70499</v>
      </c>
      <c r="E170" s="167" t="s">
        <v>97</v>
      </c>
      <c r="F170" s="10"/>
      <c r="G170" s="10">
        <v>79997.8</v>
      </c>
      <c r="H170" s="136"/>
      <c r="I170" s="136">
        <f>'USD 19-21'!J95*69.2</f>
        <v>2767923.8800000004</v>
      </c>
      <c r="J170" s="136"/>
      <c r="K170" s="136"/>
      <c r="L170" s="136"/>
      <c r="M170" s="136">
        <f>'USD 19-21'!L95*72.4</f>
        <v>0</v>
      </c>
      <c r="N170" s="137"/>
      <c r="O170" s="136"/>
      <c r="P170" s="135"/>
      <c r="Q170" s="136">
        <v>39998.9</v>
      </c>
      <c r="R170" s="135"/>
      <c r="S170" s="135"/>
      <c r="T170" s="135"/>
      <c r="U170" s="135"/>
      <c r="V170" s="135"/>
      <c r="W170" s="135"/>
      <c r="X170" s="135"/>
      <c r="Y170" s="136">
        <v>39998.9</v>
      </c>
      <c r="Z170" s="135"/>
      <c r="AA170" s="135"/>
      <c r="AB170" s="135"/>
      <c r="AC170" s="135"/>
      <c r="AD170" s="135"/>
      <c r="AE170" s="135"/>
      <c r="AF170" s="135"/>
      <c r="AG170" s="135"/>
      <c r="AH170" s="135"/>
      <c r="AI170" s="135"/>
      <c r="AJ170" s="135"/>
      <c r="AK170" s="135"/>
      <c r="AL170" s="135"/>
      <c r="AM170" s="135"/>
      <c r="AN170" s="135"/>
      <c r="AO170" s="136"/>
    </row>
    <row r="171" spans="1:41" ht="33">
      <c r="A171" s="1">
        <v>3111</v>
      </c>
      <c r="B171" s="12">
        <v>43</v>
      </c>
      <c r="C171" s="12">
        <v>930</v>
      </c>
      <c r="D171" s="12">
        <v>70499</v>
      </c>
      <c r="E171" s="167" t="s">
        <v>96</v>
      </c>
      <c r="F171" s="10"/>
      <c r="G171" s="10">
        <v>61778.3</v>
      </c>
      <c r="H171" s="136"/>
      <c r="I171" s="136">
        <f>'USD 19-21'!J96*69.2</f>
        <v>4135350.4800000004</v>
      </c>
      <c r="J171" s="136"/>
      <c r="K171" s="136"/>
      <c r="L171" s="136"/>
      <c r="M171" s="136">
        <f>'USD 19-21'!L96*72.4</f>
        <v>1081648.76</v>
      </c>
      <c r="N171" s="137"/>
      <c r="O171" s="136">
        <f>'USD 19-21'!N96*69.2</f>
        <v>0</v>
      </c>
      <c r="P171" s="141"/>
      <c r="Q171" s="136">
        <f>I171-AO171</f>
        <v>4113517.9800000004</v>
      </c>
      <c r="R171" s="141"/>
      <c r="S171" s="136"/>
      <c r="T171" s="136"/>
      <c r="U171" s="136"/>
      <c r="V171" s="136"/>
      <c r="W171" s="136"/>
      <c r="X171" s="141"/>
      <c r="Y171" s="136"/>
      <c r="Z171" s="136"/>
      <c r="AA171" s="136"/>
      <c r="AB171" s="136"/>
      <c r="AC171" s="136"/>
      <c r="AD171" s="136"/>
      <c r="AE171" s="136"/>
      <c r="AF171" s="141"/>
      <c r="AG171" s="136"/>
      <c r="AH171" s="136"/>
      <c r="AI171" s="136"/>
      <c r="AJ171" s="136"/>
      <c r="AK171" s="136"/>
      <c r="AL171" s="136"/>
      <c r="AM171" s="136"/>
      <c r="AN171" s="141"/>
      <c r="AO171" s="136">
        <v>21832.5</v>
      </c>
    </row>
    <row r="172" spans="1:41" ht="33">
      <c r="A172" s="1">
        <v>3111</v>
      </c>
      <c r="B172" s="12">
        <v>43</v>
      </c>
      <c r="C172" s="12">
        <v>910</v>
      </c>
      <c r="D172" s="12">
        <v>70499</v>
      </c>
      <c r="E172" s="58" t="s">
        <v>159</v>
      </c>
      <c r="F172" s="10">
        <f>'KGS 16-18'!F147/64.8</f>
        <v>1592.5925925925926</v>
      </c>
      <c r="G172" s="10"/>
      <c r="H172" s="136">
        <v>581.3</v>
      </c>
      <c r="I172" s="136"/>
      <c r="J172" s="136"/>
      <c r="K172" s="136"/>
      <c r="L172" s="136"/>
      <c r="M172" s="136"/>
      <c r="N172" s="137"/>
      <c r="O172" s="136"/>
      <c r="P172" s="136">
        <v>84.9</v>
      </c>
      <c r="Q172" s="136"/>
      <c r="R172" s="136"/>
      <c r="S172" s="136"/>
      <c r="T172" s="136"/>
      <c r="U172" s="136"/>
      <c r="V172" s="136"/>
      <c r="W172" s="136"/>
      <c r="X172" s="136">
        <v>79.2</v>
      </c>
      <c r="Y172" s="136"/>
      <c r="Z172" s="136"/>
      <c r="AA172" s="136"/>
      <c r="AB172" s="136"/>
      <c r="AC172" s="136"/>
      <c r="AD172" s="136"/>
      <c r="AE172" s="136"/>
      <c r="AF172" s="136">
        <v>79.2</v>
      </c>
      <c r="AG172" s="136"/>
      <c r="AH172" s="136"/>
      <c r="AI172" s="136"/>
      <c r="AJ172" s="136"/>
      <c r="AK172" s="136"/>
      <c r="AL172" s="136"/>
      <c r="AM172" s="136"/>
      <c r="AN172" s="136">
        <v>73.8</v>
      </c>
      <c r="AO172" s="136"/>
    </row>
    <row r="173" spans="1:41" ht="33">
      <c r="A173" s="1">
        <v>3111</v>
      </c>
      <c r="B173" s="12">
        <v>43</v>
      </c>
      <c r="C173" s="12">
        <v>920</v>
      </c>
      <c r="D173" s="12">
        <v>70499</v>
      </c>
      <c r="E173" s="85" t="s">
        <v>157</v>
      </c>
      <c r="F173" s="10"/>
      <c r="G173" s="10">
        <v>1264</v>
      </c>
      <c r="H173" s="136"/>
      <c r="I173" s="136">
        <f>'USD 19-21'!L98*69.2</f>
        <v>394440</v>
      </c>
      <c r="J173" s="136"/>
      <c r="K173" s="136"/>
      <c r="L173" s="136"/>
      <c r="M173" s="136"/>
      <c r="N173" s="137"/>
      <c r="O173" s="136"/>
      <c r="P173" s="136"/>
      <c r="Q173" s="136">
        <v>800</v>
      </c>
      <c r="R173" s="136"/>
      <c r="S173" s="136"/>
      <c r="T173" s="136"/>
      <c r="U173" s="136"/>
      <c r="V173" s="136"/>
      <c r="W173" s="136"/>
      <c r="X173" s="136"/>
      <c r="Y173" s="136">
        <v>750</v>
      </c>
      <c r="Z173" s="136"/>
      <c r="AA173" s="136"/>
      <c r="AB173" s="136"/>
      <c r="AC173" s="136"/>
      <c r="AD173" s="136"/>
      <c r="AE173" s="136"/>
      <c r="AF173" s="136"/>
      <c r="AG173" s="136">
        <v>750</v>
      </c>
      <c r="AH173" s="136"/>
      <c r="AI173" s="136"/>
      <c r="AJ173" s="136"/>
      <c r="AK173" s="136"/>
      <c r="AL173" s="136"/>
      <c r="AM173" s="136"/>
      <c r="AN173" s="136"/>
      <c r="AO173" s="136">
        <v>700</v>
      </c>
    </row>
    <row r="174" spans="1:44" ht="33">
      <c r="A174" s="1">
        <v>3111</v>
      </c>
      <c r="B174" s="12">
        <v>43</v>
      </c>
      <c r="C174" s="12">
        <v>930</v>
      </c>
      <c r="D174" s="12">
        <v>70499</v>
      </c>
      <c r="E174" s="58" t="s">
        <v>158</v>
      </c>
      <c r="F174" s="10"/>
      <c r="G174" s="10">
        <v>3000</v>
      </c>
      <c r="H174" s="136"/>
      <c r="I174" s="136"/>
      <c r="J174" s="136"/>
      <c r="K174" s="136"/>
      <c r="L174" s="136"/>
      <c r="M174" s="136"/>
      <c r="N174" s="137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  <c r="AB174" s="136"/>
      <c r="AC174" s="136"/>
      <c r="AD174" s="136"/>
      <c r="AE174" s="136"/>
      <c r="AF174" s="136"/>
      <c r="AG174" s="136"/>
      <c r="AH174" s="136"/>
      <c r="AI174" s="136"/>
      <c r="AJ174" s="136"/>
      <c r="AK174" s="136"/>
      <c r="AL174" s="136"/>
      <c r="AM174" s="136"/>
      <c r="AN174" s="136"/>
      <c r="AO174" s="136"/>
      <c r="AR174" s="22"/>
    </row>
    <row r="175" spans="1:41" ht="16.5">
      <c r="A175" s="1">
        <v>3111</v>
      </c>
      <c r="B175" s="12">
        <v>43</v>
      </c>
      <c r="C175" s="12">
        <v>910</v>
      </c>
      <c r="D175" s="12">
        <v>70499</v>
      </c>
      <c r="E175" s="58" t="s">
        <v>164</v>
      </c>
      <c r="F175" s="10">
        <f>'KGS 16-18'!F150/64.8</f>
        <v>144.44444444444446</v>
      </c>
      <c r="G175" s="10"/>
      <c r="H175" s="136"/>
      <c r="I175" s="136"/>
      <c r="J175" s="136"/>
      <c r="K175" s="136"/>
      <c r="L175" s="136"/>
      <c r="M175" s="139"/>
      <c r="N175" s="137"/>
      <c r="O175" s="139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  <c r="AB175" s="136"/>
      <c r="AC175" s="136"/>
      <c r="AD175" s="136"/>
      <c r="AE175" s="136"/>
      <c r="AF175" s="136"/>
      <c r="AG175" s="136"/>
      <c r="AH175" s="136"/>
      <c r="AI175" s="136"/>
      <c r="AJ175" s="136"/>
      <c r="AK175" s="136"/>
      <c r="AL175" s="136"/>
      <c r="AM175" s="136"/>
      <c r="AN175" s="136">
        <f>H175</f>
        <v>0</v>
      </c>
      <c r="AO175" s="136"/>
    </row>
    <row r="176" spans="1:41" ht="17.25" customHeight="1">
      <c r="A176" s="1">
        <v>3111</v>
      </c>
      <c r="B176" s="12">
        <v>43</v>
      </c>
      <c r="C176" s="12">
        <v>930</v>
      </c>
      <c r="D176" s="12">
        <v>70499</v>
      </c>
      <c r="E176" s="58" t="s">
        <v>165</v>
      </c>
      <c r="F176" s="10"/>
      <c r="G176" s="10">
        <v>1000</v>
      </c>
      <c r="H176" s="136"/>
      <c r="I176" s="136"/>
      <c r="J176" s="136"/>
      <c r="K176" s="136"/>
      <c r="L176" s="136"/>
      <c r="M176" s="136"/>
      <c r="N176" s="137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  <c r="AB176" s="136"/>
      <c r="AC176" s="136"/>
      <c r="AD176" s="136"/>
      <c r="AE176" s="136"/>
      <c r="AF176" s="136"/>
      <c r="AG176" s="136"/>
      <c r="AH176" s="136"/>
      <c r="AI176" s="136"/>
      <c r="AJ176" s="136"/>
      <c r="AK176" s="136"/>
      <c r="AL176" s="136"/>
      <c r="AM176" s="136"/>
      <c r="AN176" s="136"/>
      <c r="AO176" s="136">
        <f>I176</f>
        <v>0</v>
      </c>
    </row>
    <row r="177" spans="1:41" ht="18" customHeight="1">
      <c r="A177" s="1">
        <v>3111</v>
      </c>
      <c r="B177" s="12">
        <v>43</v>
      </c>
      <c r="C177" s="12">
        <v>920</v>
      </c>
      <c r="D177" s="12">
        <v>70499</v>
      </c>
      <c r="E177" s="85" t="s">
        <v>98</v>
      </c>
      <c r="F177" s="14"/>
      <c r="G177" s="14">
        <v>929.1</v>
      </c>
      <c r="H177" s="146"/>
      <c r="I177" s="146" t="e">
        <f>'USD 19-21'!#REF!*69.2</f>
        <v>#REF!</v>
      </c>
      <c r="J177" s="136"/>
      <c r="K177" s="136"/>
      <c r="L177" s="146"/>
      <c r="M177" s="146" t="e">
        <f>'USD 19-21'!#REF!*72.4</f>
        <v>#REF!</v>
      </c>
      <c r="N177" s="140"/>
      <c r="O177" s="139"/>
      <c r="P177" s="136"/>
      <c r="Q177" s="136">
        <v>273.2</v>
      </c>
      <c r="R177" s="136"/>
      <c r="S177" s="136"/>
      <c r="T177" s="136"/>
      <c r="U177" s="136"/>
      <c r="V177" s="136"/>
      <c r="W177" s="136"/>
      <c r="X177" s="136"/>
      <c r="Y177" s="136">
        <v>204.8</v>
      </c>
      <c r="Z177" s="136"/>
      <c r="AA177" s="136"/>
      <c r="AB177" s="136"/>
      <c r="AC177" s="136"/>
      <c r="AD177" s="136"/>
      <c r="AE177" s="136"/>
      <c r="AF177" s="136"/>
      <c r="AG177" s="136">
        <v>288.7</v>
      </c>
      <c r="AH177" s="136"/>
      <c r="AI177" s="136"/>
      <c r="AJ177" s="136"/>
      <c r="AK177" s="136"/>
      <c r="AL177" s="136"/>
      <c r="AM177" s="136"/>
      <c r="AN177" s="136"/>
      <c r="AO177" s="136">
        <v>162.4</v>
      </c>
    </row>
    <row r="178" spans="1:41" ht="18" customHeight="1">
      <c r="A178" s="165">
        <v>3214</v>
      </c>
      <c r="B178" s="12">
        <v>43</v>
      </c>
      <c r="C178" s="12">
        <v>930</v>
      </c>
      <c r="D178" s="12">
        <v>70499</v>
      </c>
      <c r="E178" s="167" t="s">
        <v>99</v>
      </c>
      <c r="F178" s="14"/>
      <c r="G178" s="14">
        <v>865</v>
      </c>
      <c r="H178" s="146"/>
      <c r="I178" s="146" t="e">
        <f>'USD 19-21'!#REF!*69.2</f>
        <v>#REF!</v>
      </c>
      <c r="J178" s="136"/>
      <c r="K178" s="136"/>
      <c r="L178" s="146"/>
      <c r="M178" s="146" t="e">
        <f>'USD 19-21'!#REF!*72.4</f>
        <v>#REF!</v>
      </c>
      <c r="N178" s="140"/>
      <c r="O178" s="139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>
        <v>80</v>
      </c>
      <c r="Z178" s="136"/>
      <c r="AA178" s="136"/>
      <c r="AB178" s="136"/>
      <c r="AC178" s="136"/>
      <c r="AD178" s="136"/>
      <c r="AE178" s="136"/>
      <c r="AF178" s="136"/>
      <c r="AG178" s="136">
        <v>349</v>
      </c>
      <c r="AH178" s="136"/>
      <c r="AI178" s="136"/>
      <c r="AJ178" s="136"/>
      <c r="AK178" s="136"/>
      <c r="AL178" s="136"/>
      <c r="AM178" s="136"/>
      <c r="AN178" s="136"/>
      <c r="AO178" s="136">
        <v>436</v>
      </c>
    </row>
    <row r="179" spans="2:41" ht="18" customHeight="1">
      <c r="B179" s="2"/>
      <c r="C179" s="2"/>
      <c r="D179" s="2"/>
      <c r="E179" s="9"/>
      <c r="F179" s="10"/>
      <c r="G179" s="10"/>
      <c r="H179" s="136"/>
      <c r="I179" s="136"/>
      <c r="J179" s="136"/>
      <c r="K179" s="136"/>
      <c r="L179" s="146"/>
      <c r="M179" s="136"/>
      <c r="N179" s="140"/>
      <c r="O179" s="139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  <c r="AB179" s="136"/>
      <c r="AC179" s="136"/>
      <c r="AD179" s="136"/>
      <c r="AE179" s="136"/>
      <c r="AF179" s="136"/>
      <c r="AG179" s="136"/>
      <c r="AH179" s="136"/>
      <c r="AI179" s="136"/>
      <c r="AJ179" s="136"/>
      <c r="AK179" s="136"/>
      <c r="AL179" s="136"/>
      <c r="AM179" s="136"/>
      <c r="AN179" s="136"/>
      <c r="AO179" s="136"/>
    </row>
    <row r="180" spans="2:41" ht="18" customHeight="1">
      <c r="B180" s="2"/>
      <c r="C180" s="2"/>
      <c r="D180" s="2"/>
      <c r="E180" s="119" t="s">
        <v>12</v>
      </c>
      <c r="F180" s="93">
        <f aca="true" t="shared" si="14" ref="F180:O180">F181</f>
        <v>0</v>
      </c>
      <c r="G180" s="93">
        <f t="shared" si="14"/>
        <v>3516.8</v>
      </c>
      <c r="H180" s="138">
        <f t="shared" si="14"/>
        <v>0</v>
      </c>
      <c r="I180" s="138">
        <f>I181</f>
        <v>37534.08</v>
      </c>
      <c r="J180" s="136">
        <f>H180-F180</f>
        <v>0</v>
      </c>
      <c r="K180" s="136">
        <f>I180-G180</f>
        <v>34017.28</v>
      </c>
      <c r="L180" s="138">
        <f t="shared" si="14"/>
        <v>0</v>
      </c>
      <c r="M180" s="138">
        <f t="shared" si="14"/>
        <v>318878.56</v>
      </c>
      <c r="N180" s="143">
        <f t="shared" si="14"/>
        <v>0</v>
      </c>
      <c r="O180" s="138">
        <f t="shared" si="14"/>
        <v>0</v>
      </c>
      <c r="P180" s="136"/>
      <c r="Q180" s="138">
        <f>Q181</f>
        <v>975</v>
      </c>
      <c r="R180" s="138"/>
      <c r="S180" s="138"/>
      <c r="T180" s="138"/>
      <c r="U180" s="138"/>
      <c r="V180" s="138"/>
      <c r="W180" s="138"/>
      <c r="X180" s="138"/>
      <c r="Y180" s="138">
        <f>Y181</f>
        <v>190</v>
      </c>
      <c r="Z180" s="138"/>
      <c r="AA180" s="138"/>
      <c r="AB180" s="138"/>
      <c r="AC180" s="138"/>
      <c r="AD180" s="138"/>
      <c r="AE180" s="138"/>
      <c r="AF180" s="138"/>
      <c r="AG180" s="138">
        <f>AG181</f>
        <v>2351.8</v>
      </c>
      <c r="AH180" s="138"/>
      <c r="AI180" s="138"/>
      <c r="AJ180" s="138"/>
      <c r="AK180" s="138"/>
      <c r="AL180" s="138"/>
      <c r="AM180" s="138"/>
      <c r="AN180" s="138"/>
      <c r="AO180" s="138">
        <f>AO181</f>
        <v>0</v>
      </c>
    </row>
    <row r="181" spans="2:41" ht="18" customHeight="1">
      <c r="B181" s="2"/>
      <c r="C181" s="2"/>
      <c r="D181" s="2"/>
      <c r="E181" s="120" t="s">
        <v>3</v>
      </c>
      <c r="F181" s="94">
        <f aca="true" t="shared" si="15" ref="F181:O181">SUM(F182:F183)</f>
        <v>0</v>
      </c>
      <c r="G181" s="94">
        <f t="shared" si="15"/>
        <v>3516.8</v>
      </c>
      <c r="H181" s="135">
        <f>SUM(H182:H183)</f>
        <v>0</v>
      </c>
      <c r="I181" s="135">
        <f>SUM(I182:I183)</f>
        <v>37534.08</v>
      </c>
      <c r="J181" s="136">
        <f>H181-F181</f>
        <v>0</v>
      </c>
      <c r="K181" s="136">
        <f>I181-G181</f>
        <v>34017.28</v>
      </c>
      <c r="L181" s="135">
        <f t="shared" si="15"/>
        <v>0</v>
      </c>
      <c r="M181" s="135">
        <f t="shared" si="15"/>
        <v>318878.56</v>
      </c>
      <c r="N181" s="144">
        <f t="shared" si="15"/>
        <v>0</v>
      </c>
      <c r="O181" s="135">
        <f t="shared" si="15"/>
        <v>0</v>
      </c>
      <c r="P181" s="136"/>
      <c r="Q181" s="135">
        <f>SUM(Q182:Q183)</f>
        <v>975</v>
      </c>
      <c r="R181" s="136"/>
      <c r="S181" s="136"/>
      <c r="T181" s="136"/>
      <c r="U181" s="136"/>
      <c r="V181" s="136"/>
      <c r="W181" s="136"/>
      <c r="X181" s="136"/>
      <c r="Y181" s="135">
        <f>SUM(Y182:Y183)</f>
        <v>190</v>
      </c>
      <c r="Z181" s="136"/>
      <c r="AA181" s="136"/>
      <c r="AB181" s="136"/>
      <c r="AC181" s="136"/>
      <c r="AD181" s="136"/>
      <c r="AE181" s="136"/>
      <c r="AF181" s="136"/>
      <c r="AG181" s="135">
        <f>SUM(AG182:AG183)</f>
        <v>2351.8</v>
      </c>
      <c r="AH181" s="136"/>
      <c r="AI181" s="136"/>
      <c r="AJ181" s="136"/>
      <c r="AK181" s="136"/>
      <c r="AL181" s="136"/>
      <c r="AM181" s="136"/>
      <c r="AN181" s="136"/>
      <c r="AO181" s="135">
        <f>SUM(AO182:AO183)</f>
        <v>0</v>
      </c>
    </row>
    <row r="182" spans="1:41" ht="16.5">
      <c r="A182" s="1">
        <v>3111</v>
      </c>
      <c r="B182" s="12">
        <v>45</v>
      </c>
      <c r="C182" s="12">
        <v>920</v>
      </c>
      <c r="D182" s="12">
        <v>70259</v>
      </c>
      <c r="E182" s="85" t="s">
        <v>246</v>
      </c>
      <c r="F182" s="10"/>
      <c r="G182" s="10">
        <v>319.8</v>
      </c>
      <c r="H182" s="136"/>
      <c r="I182" s="136">
        <f>'USD 19-21'!J106*69.2</f>
        <v>18767.04</v>
      </c>
      <c r="J182" s="136"/>
      <c r="K182" s="136"/>
      <c r="L182" s="146"/>
      <c r="M182" s="136">
        <f>'USD 19-21'!L106*72.4</f>
        <v>159439.28</v>
      </c>
      <c r="N182" s="140"/>
      <c r="O182" s="139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>
        <v>120</v>
      </c>
      <c r="Z182" s="136"/>
      <c r="AA182" s="136"/>
      <c r="AB182" s="136"/>
      <c r="AC182" s="136"/>
      <c r="AD182" s="136"/>
      <c r="AE182" s="136"/>
      <c r="AF182" s="136"/>
      <c r="AG182" s="136">
        <v>199.8</v>
      </c>
      <c r="AH182" s="136"/>
      <c r="AI182" s="136"/>
      <c r="AJ182" s="136"/>
      <c r="AK182" s="136"/>
      <c r="AL182" s="136"/>
      <c r="AM182" s="136"/>
      <c r="AN182" s="136"/>
      <c r="AO182" s="136"/>
    </row>
    <row r="183" spans="1:41" ht="33">
      <c r="A183" s="1">
        <v>3111</v>
      </c>
      <c r="B183" s="12">
        <v>45</v>
      </c>
      <c r="C183" s="12">
        <v>930</v>
      </c>
      <c r="D183" s="12">
        <v>70259</v>
      </c>
      <c r="E183" s="167" t="s">
        <v>247</v>
      </c>
      <c r="F183" s="10"/>
      <c r="G183" s="10">
        <v>3197</v>
      </c>
      <c r="H183" s="136"/>
      <c r="I183" s="136">
        <f>'USD 19-21'!J107*69.2</f>
        <v>18767.04</v>
      </c>
      <c r="J183" s="136"/>
      <c r="K183" s="136"/>
      <c r="L183" s="146"/>
      <c r="M183" s="136">
        <f>'USD 19-21'!L107*72.4</f>
        <v>159439.28</v>
      </c>
      <c r="N183" s="140"/>
      <c r="O183" s="139"/>
      <c r="P183" s="136"/>
      <c r="Q183" s="136">
        <v>975</v>
      </c>
      <c r="R183" s="136"/>
      <c r="S183" s="136"/>
      <c r="T183" s="136"/>
      <c r="U183" s="136"/>
      <c r="V183" s="136"/>
      <c r="W183" s="136"/>
      <c r="X183" s="136"/>
      <c r="Y183" s="136">
        <v>70</v>
      </c>
      <c r="Z183" s="136"/>
      <c r="AA183" s="136"/>
      <c r="AB183" s="136"/>
      <c r="AC183" s="136"/>
      <c r="AD183" s="136"/>
      <c r="AE183" s="136"/>
      <c r="AF183" s="136"/>
      <c r="AG183" s="136">
        <v>2152</v>
      </c>
      <c r="AH183" s="136"/>
      <c r="AI183" s="136"/>
      <c r="AJ183" s="136"/>
      <c r="AK183" s="136"/>
      <c r="AL183" s="136"/>
      <c r="AM183" s="136"/>
      <c r="AN183" s="136"/>
      <c r="AO183" s="136"/>
    </row>
    <row r="184" spans="2:41" ht="18" customHeight="1">
      <c r="B184" s="12"/>
      <c r="C184" s="12"/>
      <c r="D184" s="8"/>
      <c r="E184" s="13"/>
      <c r="F184" s="10"/>
      <c r="G184" s="10"/>
      <c r="H184" s="136"/>
      <c r="I184" s="136"/>
      <c r="J184" s="136"/>
      <c r="K184" s="136"/>
      <c r="L184" s="136"/>
      <c r="M184" s="136"/>
      <c r="N184" s="140"/>
      <c r="O184" s="139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  <c r="AB184" s="136"/>
      <c r="AC184" s="136"/>
      <c r="AD184" s="136"/>
      <c r="AE184" s="136"/>
      <c r="AF184" s="136"/>
      <c r="AG184" s="136"/>
      <c r="AH184" s="136"/>
      <c r="AI184" s="136"/>
      <c r="AJ184" s="136"/>
      <c r="AK184" s="136"/>
      <c r="AL184" s="136"/>
      <c r="AM184" s="136"/>
      <c r="AN184" s="136"/>
      <c r="AO184" s="136"/>
    </row>
    <row r="185" spans="2:41" ht="33">
      <c r="B185" s="12"/>
      <c r="C185" s="12"/>
      <c r="D185" s="8"/>
      <c r="E185" s="121" t="s">
        <v>94</v>
      </c>
      <c r="F185" s="93">
        <f aca="true" t="shared" si="16" ref="F185:O185">F186</f>
        <v>941.9753086419753</v>
      </c>
      <c r="G185" s="93">
        <f t="shared" si="16"/>
        <v>9394</v>
      </c>
      <c r="H185" s="138">
        <f t="shared" si="16"/>
        <v>161530</v>
      </c>
      <c r="I185" s="138">
        <f t="shared" si="16"/>
        <v>1345559.4</v>
      </c>
      <c r="J185" s="136">
        <f>H185-F185</f>
        <v>160588.02469135803</v>
      </c>
      <c r="K185" s="136">
        <f>I185-G185</f>
        <v>1336165.4</v>
      </c>
      <c r="L185" s="138">
        <f t="shared" si="16"/>
        <v>99790</v>
      </c>
      <c r="M185" s="138">
        <f t="shared" si="16"/>
        <v>718570</v>
      </c>
      <c r="N185" s="143">
        <f t="shared" si="16"/>
        <v>45660</v>
      </c>
      <c r="O185" s="138">
        <f t="shared" si="16"/>
        <v>0</v>
      </c>
      <c r="P185" s="136">
        <f>P186</f>
        <v>0</v>
      </c>
      <c r="Q185" s="138">
        <f>Q186</f>
        <v>32324.5</v>
      </c>
      <c r="R185" s="138"/>
      <c r="S185" s="138"/>
      <c r="T185" s="138"/>
      <c r="U185" s="138"/>
      <c r="V185" s="138"/>
      <c r="W185" s="138"/>
      <c r="X185" s="138">
        <f>X186</f>
        <v>5813.333333333333</v>
      </c>
      <c r="Y185" s="138">
        <f>Y186</f>
        <v>33404.5</v>
      </c>
      <c r="Z185" s="138"/>
      <c r="AA185" s="138"/>
      <c r="AB185" s="138"/>
      <c r="AC185" s="138"/>
      <c r="AD185" s="138"/>
      <c r="AE185" s="138"/>
      <c r="AF185" s="138">
        <f>AF186</f>
        <v>31496.973333333335</v>
      </c>
      <c r="AG185" s="138">
        <f>AG186</f>
        <v>33954.5</v>
      </c>
      <c r="AH185" s="138"/>
      <c r="AI185" s="138"/>
      <c r="AJ185" s="138"/>
      <c r="AK185" s="138"/>
      <c r="AL185" s="138"/>
      <c r="AM185" s="138"/>
      <c r="AN185" s="138">
        <f>AN186</f>
        <v>31188.333333333332</v>
      </c>
      <c r="AO185" s="138">
        <f>AO186</f>
        <v>33834.5</v>
      </c>
    </row>
    <row r="186" spans="2:41" ht="18" customHeight="1">
      <c r="B186" s="12"/>
      <c r="C186" s="12"/>
      <c r="D186" s="8"/>
      <c r="E186" s="120" t="s">
        <v>3</v>
      </c>
      <c r="F186" s="94">
        <f>SUM(F187:F197)</f>
        <v>941.9753086419753</v>
      </c>
      <c r="G186" s="94">
        <f>SUM(G187:G197)</f>
        <v>9394</v>
      </c>
      <c r="H186" s="135">
        <f>SUM(H189:H200)</f>
        <v>161530</v>
      </c>
      <c r="I186" s="135">
        <f>SUM(I187:I200)</f>
        <v>1345559.4</v>
      </c>
      <c r="J186" s="136">
        <f>H186-F186</f>
        <v>160588.02469135803</v>
      </c>
      <c r="K186" s="136">
        <f>I186-G186</f>
        <v>1336165.4</v>
      </c>
      <c r="L186" s="135">
        <f aca="true" t="shared" si="17" ref="L186:Q186">SUM(L187:L197)</f>
        <v>99790</v>
      </c>
      <c r="M186" s="135">
        <f t="shared" si="17"/>
        <v>718570</v>
      </c>
      <c r="N186" s="144">
        <f t="shared" si="17"/>
        <v>45660</v>
      </c>
      <c r="O186" s="135">
        <f t="shared" si="17"/>
        <v>0</v>
      </c>
      <c r="P186" s="135">
        <f t="shared" si="17"/>
        <v>0</v>
      </c>
      <c r="Q186" s="135">
        <f t="shared" si="17"/>
        <v>32324.5</v>
      </c>
      <c r="R186" s="136"/>
      <c r="S186" s="136"/>
      <c r="T186" s="136"/>
      <c r="U186" s="136"/>
      <c r="V186" s="136"/>
      <c r="W186" s="136"/>
      <c r="X186" s="135">
        <f>SUM(X187:X197)</f>
        <v>5813.333333333333</v>
      </c>
      <c r="Y186" s="135">
        <f>SUM(Y187:Y197)</f>
        <v>33404.5</v>
      </c>
      <c r="Z186" s="136"/>
      <c r="AA186" s="136"/>
      <c r="AB186" s="136"/>
      <c r="AC186" s="136"/>
      <c r="AD186" s="136"/>
      <c r="AE186" s="136"/>
      <c r="AF186" s="135">
        <f>SUM(AF187:AF197)</f>
        <v>31496.973333333335</v>
      </c>
      <c r="AG186" s="135">
        <f>SUM(AG187:AG197)</f>
        <v>33954.5</v>
      </c>
      <c r="AH186" s="136"/>
      <c r="AI186" s="136"/>
      <c r="AJ186" s="136"/>
      <c r="AK186" s="136"/>
      <c r="AL186" s="136"/>
      <c r="AM186" s="136"/>
      <c r="AN186" s="135">
        <f>SUM(AN187:AN197)</f>
        <v>31188.333333333332</v>
      </c>
      <c r="AO186" s="135">
        <f>SUM(AO187:AO197)</f>
        <v>33834.5</v>
      </c>
    </row>
    <row r="187" spans="1:41" s="22" customFormat="1" ht="18" customHeight="1">
      <c r="A187" s="1"/>
      <c r="B187" s="2"/>
      <c r="C187" s="2"/>
      <c r="D187" s="8"/>
      <c r="E187" s="58"/>
      <c r="F187" s="10"/>
      <c r="G187" s="94"/>
      <c r="H187" s="136"/>
      <c r="I187" s="135"/>
      <c r="J187" s="136"/>
      <c r="K187" s="136"/>
      <c r="L187" s="135"/>
      <c r="M187" s="135"/>
      <c r="N187" s="144"/>
      <c r="O187" s="135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  <c r="AB187" s="136"/>
      <c r="AC187" s="136"/>
      <c r="AD187" s="136"/>
      <c r="AE187" s="136"/>
      <c r="AF187" s="136"/>
      <c r="AG187" s="136"/>
      <c r="AH187" s="136"/>
      <c r="AI187" s="136"/>
      <c r="AJ187" s="136"/>
      <c r="AK187" s="136"/>
      <c r="AL187" s="136"/>
      <c r="AM187" s="136"/>
      <c r="AN187" s="136"/>
      <c r="AO187" s="136"/>
    </row>
    <row r="188" spans="1:41" s="22" customFormat="1" ht="18" customHeight="1">
      <c r="A188" s="1"/>
      <c r="B188" s="2"/>
      <c r="C188" s="2"/>
      <c r="D188" s="8"/>
      <c r="E188" s="58"/>
      <c r="F188" s="10"/>
      <c r="G188" s="94"/>
      <c r="H188" s="136"/>
      <c r="I188" s="136"/>
      <c r="J188" s="136"/>
      <c r="K188" s="136"/>
      <c r="L188" s="135"/>
      <c r="M188" s="135"/>
      <c r="N188" s="144"/>
      <c r="O188" s="135"/>
      <c r="P188" s="141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  <c r="AB188" s="136"/>
      <c r="AC188" s="136"/>
      <c r="AD188" s="136"/>
      <c r="AE188" s="136"/>
      <c r="AF188" s="136"/>
      <c r="AG188" s="136"/>
      <c r="AH188" s="136"/>
      <c r="AI188" s="136"/>
      <c r="AJ188" s="136"/>
      <c r="AK188" s="136"/>
      <c r="AL188" s="136"/>
      <c r="AM188" s="136"/>
      <c r="AN188" s="136"/>
      <c r="AO188" s="136"/>
    </row>
    <row r="189" spans="1:41" ht="18" customHeight="1">
      <c r="A189" s="166">
        <v>3111</v>
      </c>
      <c r="B189" s="2">
        <v>51</v>
      </c>
      <c r="C189" s="2">
        <v>920</v>
      </c>
      <c r="D189" s="8">
        <v>70499</v>
      </c>
      <c r="E189" s="85" t="s">
        <v>62</v>
      </c>
      <c r="F189" s="10"/>
      <c r="G189" s="10">
        <v>1000</v>
      </c>
      <c r="H189" s="136"/>
      <c r="I189" s="136">
        <f>'USD 19-21'!J151*69.2</f>
        <v>37803.96</v>
      </c>
      <c r="J189" s="136"/>
      <c r="K189" s="136"/>
      <c r="L189" s="136"/>
      <c r="M189" s="136">
        <f>'USD 19-21'!L151*72.4</f>
        <v>0</v>
      </c>
      <c r="N189" s="140"/>
      <c r="O189" s="139"/>
      <c r="P189" s="141"/>
      <c r="Q189" s="136">
        <v>500</v>
      </c>
      <c r="R189" s="136"/>
      <c r="S189" s="136"/>
      <c r="T189" s="136"/>
      <c r="U189" s="136"/>
      <c r="V189" s="136"/>
      <c r="W189" s="136"/>
      <c r="X189" s="136"/>
      <c r="Y189" s="136">
        <v>700</v>
      </c>
      <c r="Z189" s="136"/>
      <c r="AA189" s="136"/>
      <c r="AB189" s="136"/>
      <c r="AC189" s="136"/>
      <c r="AD189" s="136"/>
      <c r="AE189" s="136"/>
      <c r="AF189" s="136"/>
      <c r="AG189" s="136">
        <v>600</v>
      </c>
      <c r="AH189" s="136"/>
      <c r="AI189" s="136"/>
      <c r="AJ189" s="136"/>
      <c r="AK189" s="136"/>
      <c r="AL189" s="136"/>
      <c r="AM189" s="136"/>
      <c r="AN189" s="136"/>
      <c r="AO189" s="136">
        <v>600</v>
      </c>
    </row>
    <row r="190" spans="1:41" ht="18" customHeight="1">
      <c r="A190" s="166">
        <v>3111</v>
      </c>
      <c r="B190" s="2">
        <v>51</v>
      </c>
      <c r="C190" s="2">
        <v>930</v>
      </c>
      <c r="D190" s="8">
        <v>70499</v>
      </c>
      <c r="E190" s="167" t="s">
        <v>63</v>
      </c>
      <c r="F190" s="10"/>
      <c r="G190" s="10">
        <v>200</v>
      </c>
      <c r="H190" s="136"/>
      <c r="I190" s="136">
        <f>'USD 19-21'!J152*69.2</f>
        <v>138400</v>
      </c>
      <c r="J190" s="136"/>
      <c r="K190" s="136"/>
      <c r="L190" s="136"/>
      <c r="M190" s="136">
        <f>'USD 19-21'!L152*72.4</f>
        <v>333040</v>
      </c>
      <c r="N190" s="140"/>
      <c r="O190" s="136">
        <f>'USD 19-21'!N152*69.2</f>
        <v>0</v>
      </c>
      <c r="P190" s="141"/>
      <c r="Q190" s="136">
        <v>125</v>
      </c>
      <c r="R190" s="136"/>
      <c r="S190" s="136"/>
      <c r="T190" s="136"/>
      <c r="U190" s="136"/>
      <c r="V190" s="136"/>
      <c r="W190" s="136"/>
      <c r="X190" s="136"/>
      <c r="Y190" s="136">
        <v>125</v>
      </c>
      <c r="Z190" s="136"/>
      <c r="AA190" s="136"/>
      <c r="AB190" s="136"/>
      <c r="AC190" s="136"/>
      <c r="AD190" s="136"/>
      <c r="AE190" s="136"/>
      <c r="AF190" s="136"/>
      <c r="AG190" s="136">
        <v>125</v>
      </c>
      <c r="AH190" s="136"/>
      <c r="AI190" s="136"/>
      <c r="AJ190" s="136"/>
      <c r="AK190" s="136"/>
      <c r="AL190" s="136"/>
      <c r="AM190" s="136"/>
      <c r="AN190" s="136"/>
      <c r="AO190" s="136">
        <v>125</v>
      </c>
    </row>
    <row r="191" spans="1:41" ht="18" customHeight="1">
      <c r="A191" s="166">
        <v>3111</v>
      </c>
      <c r="B191" s="2">
        <v>51</v>
      </c>
      <c r="C191" s="2">
        <v>910</v>
      </c>
      <c r="D191" s="8">
        <v>70499</v>
      </c>
      <c r="E191" s="58" t="s">
        <v>129</v>
      </c>
      <c r="F191" s="10">
        <f>'KGS 16-18'!F166/64.8</f>
        <v>308.641975308642</v>
      </c>
      <c r="G191" s="10"/>
      <c r="H191" s="136">
        <v>15640</v>
      </c>
      <c r="I191" s="136"/>
      <c r="J191" s="136"/>
      <c r="K191" s="136"/>
      <c r="L191" s="136"/>
      <c r="M191" s="139"/>
      <c r="N191" s="140"/>
      <c r="O191" s="139"/>
      <c r="P191" s="141"/>
      <c r="Q191" s="141"/>
      <c r="R191" s="141"/>
      <c r="S191" s="136"/>
      <c r="T191" s="136"/>
      <c r="U191" s="136"/>
      <c r="V191" s="136"/>
      <c r="W191" s="136"/>
      <c r="X191" s="141"/>
      <c r="Y191" s="136"/>
      <c r="Z191" s="136"/>
      <c r="AA191" s="136"/>
      <c r="AB191" s="136"/>
      <c r="AC191" s="136"/>
      <c r="AD191" s="136"/>
      <c r="AE191" s="136"/>
      <c r="AF191" s="141">
        <v>308.64</v>
      </c>
      <c r="AG191" s="136"/>
      <c r="AH191" s="136"/>
      <c r="AI191" s="136"/>
      <c r="AJ191" s="136"/>
      <c r="AK191" s="136"/>
      <c r="AL191" s="136"/>
      <c r="AM191" s="136"/>
      <c r="AN191" s="141"/>
      <c r="AO191" s="136"/>
    </row>
    <row r="192" spans="1:41" ht="18" customHeight="1">
      <c r="A192" s="166">
        <v>3111</v>
      </c>
      <c r="B192" s="2">
        <v>51</v>
      </c>
      <c r="C192" s="2">
        <v>920</v>
      </c>
      <c r="D192" s="8">
        <v>70499</v>
      </c>
      <c r="E192" s="85" t="s">
        <v>128</v>
      </c>
      <c r="F192" s="10"/>
      <c r="G192" s="10">
        <v>4774</v>
      </c>
      <c r="H192" s="136"/>
      <c r="I192" s="136">
        <f>'USD 19-21'!J153*69.2</f>
        <v>125598</v>
      </c>
      <c r="J192" s="136"/>
      <c r="K192" s="136"/>
      <c r="L192" s="136"/>
      <c r="M192" s="136"/>
      <c r="N192" s="140"/>
      <c r="O192" s="139"/>
      <c r="P192" s="141"/>
      <c r="Q192" s="136">
        <f>I192/4</f>
        <v>31399.5</v>
      </c>
      <c r="R192" s="136"/>
      <c r="S192" s="136"/>
      <c r="T192" s="136"/>
      <c r="U192" s="136"/>
      <c r="V192" s="136"/>
      <c r="W192" s="136"/>
      <c r="X192" s="136"/>
      <c r="Y192" s="136">
        <f>I192/4</f>
        <v>31399.5</v>
      </c>
      <c r="Z192" s="136"/>
      <c r="AA192" s="136"/>
      <c r="AB192" s="136"/>
      <c r="AC192" s="136"/>
      <c r="AD192" s="136"/>
      <c r="AE192" s="136"/>
      <c r="AF192" s="136"/>
      <c r="AG192" s="136">
        <f>I192/4</f>
        <v>31399.5</v>
      </c>
      <c r="AH192" s="136"/>
      <c r="AI192" s="136"/>
      <c r="AJ192" s="136"/>
      <c r="AK192" s="136"/>
      <c r="AL192" s="136"/>
      <c r="AM192" s="136"/>
      <c r="AN192" s="136"/>
      <c r="AO192" s="136">
        <f>I192/4</f>
        <v>31399.5</v>
      </c>
    </row>
    <row r="193" spans="1:41" ht="18" customHeight="1">
      <c r="A193" s="166">
        <v>3111</v>
      </c>
      <c r="B193" s="2">
        <v>51</v>
      </c>
      <c r="C193" s="2">
        <v>910</v>
      </c>
      <c r="D193" s="8">
        <v>70499</v>
      </c>
      <c r="E193" s="58" t="s">
        <v>175</v>
      </c>
      <c r="F193" s="10">
        <f>'KGS 16-18'!F168/64.8</f>
        <v>633.3333333333334</v>
      </c>
      <c r="G193" s="10"/>
      <c r="H193" s="136">
        <v>17440</v>
      </c>
      <c r="I193" s="136"/>
      <c r="J193" s="136"/>
      <c r="K193" s="136"/>
      <c r="L193" s="136">
        <v>46520</v>
      </c>
      <c r="M193" s="139"/>
      <c r="N193" s="137"/>
      <c r="O193" s="139"/>
      <c r="P193" s="136"/>
      <c r="Q193" s="136"/>
      <c r="R193" s="136"/>
      <c r="S193" s="136"/>
      <c r="T193" s="136"/>
      <c r="U193" s="136"/>
      <c r="V193" s="136"/>
      <c r="W193" s="136"/>
      <c r="X193" s="136">
        <f>H193/3</f>
        <v>5813.333333333333</v>
      </c>
      <c r="Y193" s="136"/>
      <c r="Z193" s="136"/>
      <c r="AA193" s="136"/>
      <c r="AB193" s="136"/>
      <c r="AC193" s="136"/>
      <c r="AD193" s="136"/>
      <c r="AE193" s="136"/>
      <c r="AF193" s="136">
        <f>H193/3</f>
        <v>5813.333333333333</v>
      </c>
      <c r="AG193" s="136"/>
      <c r="AH193" s="136"/>
      <c r="AI193" s="136"/>
      <c r="AJ193" s="136"/>
      <c r="AK193" s="136"/>
      <c r="AL193" s="136"/>
      <c r="AM193" s="136"/>
      <c r="AN193" s="136">
        <f>H193/3</f>
        <v>5813.333333333333</v>
      </c>
      <c r="AO193" s="136"/>
    </row>
    <row r="194" spans="1:41" ht="18" customHeight="1">
      <c r="A194" s="166">
        <v>3111</v>
      </c>
      <c r="B194" s="2">
        <v>51</v>
      </c>
      <c r="C194" s="2">
        <v>930</v>
      </c>
      <c r="D194" s="8">
        <v>70499</v>
      </c>
      <c r="E194" s="167" t="s">
        <v>176</v>
      </c>
      <c r="F194" s="10"/>
      <c r="G194" s="10">
        <v>3420</v>
      </c>
      <c r="H194" s="136"/>
      <c r="I194" s="136">
        <f>'USD 19-21'!J155*69.2</f>
        <v>103800</v>
      </c>
      <c r="J194" s="136"/>
      <c r="K194" s="136"/>
      <c r="L194" s="136"/>
      <c r="M194" s="136">
        <f>'USD 19-21'!L155*72.4</f>
        <v>179552</v>
      </c>
      <c r="N194" s="140"/>
      <c r="O194" s="139"/>
      <c r="P194" s="136"/>
      <c r="Q194" s="136">
        <v>300</v>
      </c>
      <c r="R194" s="136"/>
      <c r="S194" s="136"/>
      <c r="T194" s="136"/>
      <c r="U194" s="136"/>
      <c r="V194" s="136"/>
      <c r="W194" s="136"/>
      <c r="X194" s="136"/>
      <c r="Y194" s="136">
        <v>1180</v>
      </c>
      <c r="Z194" s="136"/>
      <c r="AA194" s="136"/>
      <c r="AB194" s="136"/>
      <c r="AC194" s="136"/>
      <c r="AD194" s="136"/>
      <c r="AE194" s="136"/>
      <c r="AF194" s="136"/>
      <c r="AG194" s="136">
        <v>1180</v>
      </c>
      <c r="AH194" s="136"/>
      <c r="AI194" s="136"/>
      <c r="AJ194" s="136"/>
      <c r="AK194" s="136"/>
      <c r="AL194" s="136"/>
      <c r="AM194" s="136"/>
      <c r="AN194" s="136"/>
      <c r="AO194" s="136">
        <v>1060</v>
      </c>
    </row>
    <row r="195" spans="1:41" ht="18" customHeight="1">
      <c r="A195" s="1">
        <v>3111</v>
      </c>
      <c r="B195" s="2">
        <v>51</v>
      </c>
      <c r="C195" s="2">
        <v>920</v>
      </c>
      <c r="D195" s="8">
        <v>70499</v>
      </c>
      <c r="E195" s="9" t="s">
        <v>227</v>
      </c>
      <c r="F195" s="10"/>
      <c r="G195" s="10"/>
      <c r="H195" s="136">
        <v>50750</v>
      </c>
      <c r="I195" s="136"/>
      <c r="J195" s="136"/>
      <c r="K195" s="136"/>
      <c r="L195" s="136">
        <v>53270</v>
      </c>
      <c r="M195" s="136"/>
      <c r="N195" s="137">
        <v>45660</v>
      </c>
      <c r="O195" s="139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  <c r="AB195" s="136"/>
      <c r="AC195" s="136"/>
      <c r="AD195" s="136"/>
      <c r="AE195" s="136"/>
      <c r="AF195" s="136">
        <f>H195/2</f>
        <v>25375</v>
      </c>
      <c r="AG195" s="136"/>
      <c r="AH195" s="136"/>
      <c r="AI195" s="136"/>
      <c r="AJ195" s="136"/>
      <c r="AK195" s="136"/>
      <c r="AL195" s="136"/>
      <c r="AM195" s="136"/>
      <c r="AN195" s="136">
        <f>H195/2</f>
        <v>25375</v>
      </c>
      <c r="AO195" s="136"/>
    </row>
    <row r="196" spans="1:41" s="22" customFormat="1" ht="18" customHeight="1">
      <c r="A196" s="166">
        <v>3111</v>
      </c>
      <c r="B196" s="2">
        <v>51</v>
      </c>
      <c r="C196" s="2">
        <v>920</v>
      </c>
      <c r="D196" s="8">
        <v>70499</v>
      </c>
      <c r="E196" s="84" t="s">
        <v>225</v>
      </c>
      <c r="F196" s="10"/>
      <c r="G196" s="10"/>
      <c r="H196" s="136"/>
      <c r="I196" s="136">
        <f>'USD 19-21'!J157*69.2</f>
        <v>26434.4</v>
      </c>
      <c r="J196" s="136"/>
      <c r="K196" s="136"/>
      <c r="L196" s="136"/>
      <c r="M196" s="136">
        <f>'USD 19-21'!L157*72.4</f>
        <v>17738</v>
      </c>
      <c r="N196" s="140"/>
      <c r="O196" s="136">
        <f>'USD 19-21'!N157*69.2</f>
        <v>0</v>
      </c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  <c r="AB196" s="136"/>
      <c r="AC196" s="136"/>
      <c r="AD196" s="136"/>
      <c r="AE196" s="136"/>
      <c r="AF196" s="136"/>
      <c r="AG196" s="136">
        <v>400</v>
      </c>
      <c r="AH196" s="136"/>
      <c r="AI196" s="136"/>
      <c r="AJ196" s="136"/>
      <c r="AK196" s="136"/>
      <c r="AL196" s="136"/>
      <c r="AM196" s="136"/>
      <c r="AN196" s="136"/>
      <c r="AO196" s="136">
        <v>400</v>
      </c>
    </row>
    <row r="197" spans="1:41" s="22" customFormat="1" ht="18" customHeight="1">
      <c r="A197" s="166">
        <v>3111</v>
      </c>
      <c r="B197" s="2">
        <v>51</v>
      </c>
      <c r="C197" s="2">
        <v>930</v>
      </c>
      <c r="D197" s="8">
        <v>70499</v>
      </c>
      <c r="E197" s="168" t="s">
        <v>226</v>
      </c>
      <c r="F197" s="10"/>
      <c r="G197" s="10"/>
      <c r="H197" s="136"/>
      <c r="I197" s="136">
        <f>'USD 19-21'!J158*69.2</f>
        <v>276800</v>
      </c>
      <c r="J197" s="136"/>
      <c r="K197" s="136"/>
      <c r="L197" s="136"/>
      <c r="M197" s="136">
        <f>'USD 19-21'!L158*72.4</f>
        <v>188240.00000000003</v>
      </c>
      <c r="N197" s="140"/>
      <c r="O197" s="136">
        <f>'USD 19-21'!N158*69.2</f>
        <v>0</v>
      </c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  <c r="AB197" s="136"/>
      <c r="AC197" s="136"/>
      <c r="AD197" s="136"/>
      <c r="AE197" s="136"/>
      <c r="AF197" s="136"/>
      <c r="AG197" s="136">
        <v>250</v>
      </c>
      <c r="AH197" s="136"/>
      <c r="AI197" s="136"/>
      <c r="AJ197" s="136"/>
      <c r="AK197" s="136"/>
      <c r="AL197" s="136"/>
      <c r="AM197" s="136"/>
      <c r="AN197" s="136"/>
      <c r="AO197" s="136">
        <v>250</v>
      </c>
    </row>
    <row r="198" spans="1:41" s="22" customFormat="1" ht="18" customHeight="1">
      <c r="A198" s="166">
        <v>3111</v>
      </c>
      <c r="B198" s="2">
        <v>51</v>
      </c>
      <c r="C198" s="2">
        <v>930</v>
      </c>
      <c r="D198" s="8">
        <v>70499</v>
      </c>
      <c r="E198" s="9" t="s">
        <v>270</v>
      </c>
      <c r="F198" s="10"/>
      <c r="G198" s="10"/>
      <c r="H198" s="136">
        <v>77700</v>
      </c>
      <c r="I198" s="136"/>
      <c r="J198" s="136"/>
      <c r="K198" s="136"/>
      <c r="L198" s="136">
        <v>122100</v>
      </c>
      <c r="M198" s="136"/>
      <c r="N198" s="140">
        <v>59200</v>
      </c>
      <c r="O198" s="139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  <c r="AB198" s="136"/>
      <c r="AC198" s="136"/>
      <c r="AD198" s="136"/>
      <c r="AE198" s="136"/>
      <c r="AF198" s="136"/>
      <c r="AG198" s="136"/>
      <c r="AH198" s="136"/>
      <c r="AI198" s="136"/>
      <c r="AJ198" s="136"/>
      <c r="AK198" s="136"/>
      <c r="AL198" s="136"/>
      <c r="AM198" s="136"/>
      <c r="AN198" s="136"/>
      <c r="AO198" s="136"/>
    </row>
    <row r="199" spans="1:41" s="22" customFormat="1" ht="18" customHeight="1">
      <c r="A199" s="166">
        <v>3111</v>
      </c>
      <c r="B199" s="2">
        <v>51</v>
      </c>
      <c r="C199" s="2">
        <v>930</v>
      </c>
      <c r="D199" s="8">
        <v>70499</v>
      </c>
      <c r="E199" s="84" t="s">
        <v>268</v>
      </c>
      <c r="F199" s="10"/>
      <c r="G199" s="10"/>
      <c r="H199" s="136"/>
      <c r="I199" s="136">
        <f>'USD 19-21'!J168*69.2</f>
        <v>168979.48</v>
      </c>
      <c r="J199" s="136"/>
      <c r="K199" s="136"/>
      <c r="L199" s="136"/>
      <c r="M199" s="136">
        <f>'USD 19-21'!L168*72.4</f>
        <v>62430.520000000004</v>
      </c>
      <c r="N199" s="140"/>
      <c r="O199" s="136">
        <f>'USD 19-21'!N168*69.2</f>
        <v>56965.44</v>
      </c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  <c r="AB199" s="136"/>
      <c r="AC199" s="136"/>
      <c r="AD199" s="136"/>
      <c r="AE199" s="136"/>
      <c r="AF199" s="136"/>
      <c r="AG199" s="136"/>
      <c r="AH199" s="136"/>
      <c r="AI199" s="136"/>
      <c r="AJ199" s="136"/>
      <c r="AK199" s="136"/>
      <c r="AL199" s="136"/>
      <c r="AM199" s="136"/>
      <c r="AN199" s="136"/>
      <c r="AO199" s="136"/>
    </row>
    <row r="200" spans="1:41" s="22" customFormat="1" ht="18" customHeight="1">
      <c r="A200" s="166">
        <v>3111</v>
      </c>
      <c r="B200" s="2">
        <v>51</v>
      </c>
      <c r="C200" s="2">
        <v>930</v>
      </c>
      <c r="D200" s="8">
        <v>70499</v>
      </c>
      <c r="E200" s="168" t="s">
        <v>269</v>
      </c>
      <c r="F200" s="10"/>
      <c r="G200" s="10"/>
      <c r="H200" s="136"/>
      <c r="I200" s="136">
        <f>'USD 19-21'!J169*69.2</f>
        <v>467743.56000000006</v>
      </c>
      <c r="J200" s="136"/>
      <c r="K200" s="136"/>
      <c r="L200" s="136"/>
      <c r="M200" s="136">
        <f>'USD 19-21'!L169*72.4</f>
        <v>56783.32</v>
      </c>
      <c r="N200" s="140"/>
      <c r="O200" s="136">
        <f>'USD 19-21'!N169*69.2</f>
        <v>0</v>
      </c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  <c r="AB200" s="136"/>
      <c r="AC200" s="136"/>
      <c r="AD200" s="136"/>
      <c r="AE200" s="136"/>
      <c r="AF200" s="136"/>
      <c r="AG200" s="136"/>
      <c r="AH200" s="136"/>
      <c r="AI200" s="136"/>
      <c r="AJ200" s="136"/>
      <c r="AK200" s="136"/>
      <c r="AL200" s="136"/>
      <c r="AM200" s="136"/>
      <c r="AN200" s="136"/>
      <c r="AO200" s="136"/>
    </row>
    <row r="201" spans="2:41" ht="21.75" customHeight="1">
      <c r="B201" s="2"/>
      <c r="C201" s="2"/>
      <c r="D201" s="8"/>
      <c r="E201" s="58"/>
      <c r="F201" s="10"/>
      <c r="G201" s="10"/>
      <c r="H201" s="136"/>
      <c r="I201" s="136"/>
      <c r="J201" s="136">
        <f aca="true" t="shared" si="18" ref="J201:K203">H201-F201</f>
        <v>0</v>
      </c>
      <c r="K201" s="136">
        <f t="shared" si="18"/>
        <v>0</v>
      </c>
      <c r="L201" s="136"/>
      <c r="M201" s="136"/>
      <c r="N201" s="140"/>
      <c r="O201" s="139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  <c r="AB201" s="136"/>
      <c r="AC201" s="136"/>
      <c r="AD201" s="136"/>
      <c r="AE201" s="136"/>
      <c r="AF201" s="136"/>
      <c r="AG201" s="136"/>
      <c r="AH201" s="136"/>
      <c r="AI201" s="136"/>
      <c r="AJ201" s="136"/>
      <c r="AK201" s="136"/>
      <c r="AL201" s="136"/>
      <c r="AM201" s="136"/>
      <c r="AN201" s="136"/>
      <c r="AO201" s="136"/>
    </row>
    <row r="202" spans="2:41" ht="33">
      <c r="B202" s="2"/>
      <c r="C202" s="2"/>
      <c r="D202" s="8"/>
      <c r="E202" s="121" t="s">
        <v>202</v>
      </c>
      <c r="F202" s="93">
        <f aca="true" t="shared" si="19" ref="F202:O202">F203</f>
        <v>0</v>
      </c>
      <c r="G202" s="93">
        <f t="shared" si="19"/>
        <v>1500</v>
      </c>
      <c r="H202" s="138">
        <f t="shared" si="19"/>
        <v>0</v>
      </c>
      <c r="I202" s="138">
        <f t="shared" si="19"/>
        <v>138400</v>
      </c>
      <c r="J202" s="136">
        <f t="shared" si="18"/>
        <v>0</v>
      </c>
      <c r="K202" s="136">
        <f t="shared" si="18"/>
        <v>136900</v>
      </c>
      <c r="L202" s="138">
        <f t="shared" si="19"/>
        <v>0</v>
      </c>
      <c r="M202" s="138">
        <f t="shared" si="19"/>
        <v>253400</v>
      </c>
      <c r="N202" s="143">
        <f t="shared" si="19"/>
        <v>0</v>
      </c>
      <c r="O202" s="138">
        <f t="shared" si="19"/>
        <v>415200</v>
      </c>
      <c r="P202" s="141"/>
      <c r="Q202" s="141"/>
      <c r="R202" s="141"/>
      <c r="S202" s="141"/>
      <c r="T202" s="141"/>
      <c r="U202" s="141"/>
      <c r="V202" s="141"/>
      <c r="W202" s="141"/>
      <c r="X202" s="141"/>
      <c r="Y202" s="141"/>
      <c r="Z202" s="136"/>
      <c r="AA202" s="136"/>
      <c r="AB202" s="136"/>
      <c r="AC202" s="136"/>
      <c r="AD202" s="136"/>
      <c r="AE202" s="141"/>
      <c r="AF202" s="136"/>
      <c r="AG202" s="138">
        <f>AG203</f>
        <v>800</v>
      </c>
      <c r="AH202" s="138"/>
      <c r="AI202" s="138"/>
      <c r="AJ202" s="138"/>
      <c r="AK202" s="138"/>
      <c r="AL202" s="138"/>
      <c r="AM202" s="138"/>
      <c r="AN202" s="138"/>
      <c r="AO202" s="138">
        <f>AO203</f>
        <v>700</v>
      </c>
    </row>
    <row r="203" spans="2:41" ht="18" customHeight="1">
      <c r="B203" s="2"/>
      <c r="C203" s="2"/>
      <c r="D203" s="8"/>
      <c r="E203" s="120" t="s">
        <v>3</v>
      </c>
      <c r="F203" s="94">
        <f aca="true" t="shared" si="20" ref="F203:O203">SUM(F204:F205)</f>
        <v>0</v>
      </c>
      <c r="G203" s="94">
        <f t="shared" si="20"/>
        <v>1500</v>
      </c>
      <c r="H203" s="135">
        <f>SUM(H204:H205)</f>
        <v>0</v>
      </c>
      <c r="I203" s="135">
        <f>SUM(I204:I205)</f>
        <v>138400</v>
      </c>
      <c r="J203" s="136">
        <f t="shared" si="18"/>
        <v>0</v>
      </c>
      <c r="K203" s="136">
        <f t="shared" si="18"/>
        <v>136900</v>
      </c>
      <c r="L203" s="135">
        <f t="shared" si="20"/>
        <v>0</v>
      </c>
      <c r="M203" s="135">
        <f t="shared" si="20"/>
        <v>253400</v>
      </c>
      <c r="N203" s="144">
        <f t="shared" si="20"/>
        <v>0</v>
      </c>
      <c r="O203" s="135">
        <f t="shared" si="20"/>
        <v>415200</v>
      </c>
      <c r="P203" s="141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36"/>
      <c r="AB203" s="136"/>
      <c r="AC203" s="136"/>
      <c r="AD203" s="136"/>
      <c r="AE203" s="136"/>
      <c r="AF203" s="136"/>
      <c r="AG203" s="135">
        <f>SUM(AG204:AG205)</f>
        <v>800</v>
      </c>
      <c r="AH203" s="136"/>
      <c r="AI203" s="136"/>
      <c r="AJ203" s="136"/>
      <c r="AK203" s="136"/>
      <c r="AL203" s="136"/>
      <c r="AM203" s="136"/>
      <c r="AN203" s="136"/>
      <c r="AO203" s="135">
        <f>SUM(AO204:AO205)</f>
        <v>700</v>
      </c>
    </row>
    <row r="204" spans="1:41" ht="33">
      <c r="A204" s="166">
        <v>3111</v>
      </c>
      <c r="B204" s="2">
        <v>52</v>
      </c>
      <c r="C204" s="2">
        <v>920</v>
      </c>
      <c r="D204" s="8">
        <v>70499</v>
      </c>
      <c r="E204" s="84" t="s">
        <v>60</v>
      </c>
      <c r="F204" s="10"/>
      <c r="G204" s="10">
        <v>1400</v>
      </c>
      <c r="H204" s="136"/>
      <c r="I204" s="136">
        <f>'USD 19-21'!J179*69.2</f>
        <v>117640</v>
      </c>
      <c r="J204" s="136"/>
      <c r="K204" s="136"/>
      <c r="L204" s="136"/>
      <c r="M204" s="136">
        <f>'USD 19-21'!L179*72.4</f>
        <v>144800</v>
      </c>
      <c r="N204" s="140"/>
      <c r="O204" s="136">
        <f>'USD 19-21'!N179*69.2</f>
        <v>207600</v>
      </c>
      <c r="P204" s="141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36"/>
      <c r="AB204" s="136"/>
      <c r="AC204" s="136"/>
      <c r="AD204" s="136"/>
      <c r="AE204" s="136"/>
      <c r="AF204" s="136"/>
      <c r="AG204" s="136">
        <v>700</v>
      </c>
      <c r="AH204" s="136"/>
      <c r="AI204" s="136"/>
      <c r="AJ204" s="136"/>
      <c r="AK204" s="136"/>
      <c r="AL204" s="136"/>
      <c r="AM204" s="136"/>
      <c r="AN204" s="136"/>
      <c r="AO204" s="136">
        <v>700</v>
      </c>
    </row>
    <row r="205" spans="1:41" ht="33">
      <c r="A205" s="166">
        <v>3111</v>
      </c>
      <c r="B205" s="2">
        <v>52</v>
      </c>
      <c r="C205" s="2">
        <v>930</v>
      </c>
      <c r="D205" s="8">
        <v>70499</v>
      </c>
      <c r="E205" s="168" t="s">
        <v>61</v>
      </c>
      <c r="F205" s="10"/>
      <c r="G205" s="10">
        <v>100</v>
      </c>
      <c r="H205" s="136"/>
      <c r="I205" s="136">
        <f>'USD 19-21'!J180*69.2</f>
        <v>20760</v>
      </c>
      <c r="J205" s="136"/>
      <c r="K205" s="136"/>
      <c r="L205" s="136"/>
      <c r="M205" s="136">
        <f>'USD 19-21'!L180*72.4</f>
        <v>108600.00000000001</v>
      </c>
      <c r="N205" s="140"/>
      <c r="O205" s="136">
        <f>'USD 19-21'!N180*69.2</f>
        <v>207600</v>
      </c>
      <c r="P205" s="141"/>
      <c r="Q205" s="141"/>
      <c r="R205" s="141"/>
      <c r="S205" s="141"/>
      <c r="T205" s="141"/>
      <c r="U205" s="141"/>
      <c r="V205" s="141"/>
      <c r="W205" s="141"/>
      <c r="X205" s="141"/>
      <c r="Y205" s="141"/>
      <c r="Z205" s="136"/>
      <c r="AA205" s="136"/>
      <c r="AB205" s="136"/>
      <c r="AC205" s="136"/>
      <c r="AD205" s="136"/>
      <c r="AE205" s="141"/>
      <c r="AF205" s="136"/>
      <c r="AG205" s="136">
        <v>100</v>
      </c>
      <c r="AH205" s="136"/>
      <c r="AI205" s="136"/>
      <c r="AJ205" s="136"/>
      <c r="AK205" s="136"/>
      <c r="AL205" s="136"/>
      <c r="AM205" s="136"/>
      <c r="AN205" s="136"/>
      <c r="AO205" s="136"/>
    </row>
    <row r="206" spans="2:41" ht="18" customHeight="1">
      <c r="B206" s="2"/>
      <c r="C206" s="2"/>
      <c r="D206" s="8"/>
      <c r="E206" s="58"/>
      <c r="F206" s="10"/>
      <c r="G206" s="10"/>
      <c r="H206" s="136"/>
      <c r="I206" s="136"/>
      <c r="J206" s="136">
        <f aca="true" t="shared" si="21" ref="J206:K208">H206-F206</f>
        <v>0</v>
      </c>
      <c r="K206" s="136">
        <f t="shared" si="21"/>
        <v>0</v>
      </c>
      <c r="L206" s="136"/>
      <c r="M206" s="136"/>
      <c r="N206" s="140"/>
      <c r="O206" s="139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  <c r="AB206" s="136"/>
      <c r="AC206" s="136"/>
      <c r="AD206" s="136"/>
      <c r="AE206" s="136"/>
      <c r="AF206" s="136"/>
      <c r="AG206" s="136"/>
      <c r="AH206" s="136"/>
      <c r="AI206" s="136"/>
      <c r="AJ206" s="136"/>
      <c r="AK206" s="136"/>
      <c r="AL206" s="136"/>
      <c r="AM206" s="136"/>
      <c r="AN206" s="136"/>
      <c r="AO206" s="136"/>
    </row>
    <row r="207" spans="2:41" ht="18.75" customHeight="1">
      <c r="B207" s="2"/>
      <c r="C207" s="2"/>
      <c r="D207" s="2"/>
      <c r="E207" s="122" t="s">
        <v>152</v>
      </c>
      <c r="F207" s="93">
        <f aca="true" t="shared" si="22" ref="F207:P207">F208</f>
        <v>0</v>
      </c>
      <c r="G207" s="93">
        <f t="shared" si="22"/>
        <v>52314.399999999994</v>
      </c>
      <c r="H207" s="138">
        <f t="shared" si="22"/>
        <v>0</v>
      </c>
      <c r="I207" s="138" t="e">
        <f>I208</f>
        <v>#REF!</v>
      </c>
      <c r="J207" s="136">
        <f t="shared" si="21"/>
        <v>0</v>
      </c>
      <c r="K207" s="136" t="e">
        <f t="shared" si="21"/>
        <v>#REF!</v>
      </c>
      <c r="L207" s="138">
        <f t="shared" si="22"/>
        <v>0</v>
      </c>
      <c r="M207" s="138" t="e">
        <f t="shared" si="22"/>
        <v>#REF!</v>
      </c>
      <c r="N207" s="143">
        <f t="shared" si="22"/>
        <v>0</v>
      </c>
      <c r="O207" s="138" t="e">
        <f t="shared" si="22"/>
        <v>#REF!</v>
      </c>
      <c r="P207" s="138">
        <f t="shared" si="22"/>
        <v>0</v>
      </c>
      <c r="Q207" s="138">
        <f>Q208</f>
        <v>4496.96</v>
      </c>
      <c r="R207" s="138"/>
      <c r="S207" s="138"/>
      <c r="T207" s="138"/>
      <c r="U207" s="138"/>
      <c r="V207" s="138"/>
      <c r="W207" s="138"/>
      <c r="X207" s="138">
        <f>X208</f>
        <v>0</v>
      </c>
      <c r="Y207" s="138">
        <f>Y208</f>
        <v>11153.459</v>
      </c>
      <c r="Z207" s="138"/>
      <c r="AA207" s="138"/>
      <c r="AB207" s="138"/>
      <c r="AC207" s="138"/>
      <c r="AD207" s="138"/>
      <c r="AE207" s="138"/>
      <c r="AF207" s="138">
        <f>AF208</f>
        <v>0</v>
      </c>
      <c r="AG207" s="138" t="e">
        <f>AG208</f>
        <v>#REF!</v>
      </c>
      <c r="AH207" s="138"/>
      <c r="AI207" s="138"/>
      <c r="AJ207" s="138"/>
      <c r="AK207" s="138"/>
      <c r="AL207" s="138"/>
      <c r="AM207" s="138"/>
      <c r="AN207" s="138">
        <f>AN208</f>
        <v>0</v>
      </c>
      <c r="AO207" s="138" t="e">
        <f>AO208</f>
        <v>#REF!</v>
      </c>
    </row>
    <row r="208" spans="2:41" ht="18" customHeight="1">
      <c r="B208" s="2"/>
      <c r="C208" s="2"/>
      <c r="D208" s="2"/>
      <c r="E208" s="120" t="s">
        <v>3</v>
      </c>
      <c r="F208" s="94">
        <f>SUM(F209:F252)</f>
        <v>0</v>
      </c>
      <c r="G208" s="94">
        <f>SUM(G209:G252)</f>
        <v>52314.399999999994</v>
      </c>
      <c r="H208" s="135">
        <f>SUM(H209:H252)</f>
        <v>0</v>
      </c>
      <c r="I208" s="135" t="e">
        <f>SUM(I209:I268)</f>
        <v>#REF!</v>
      </c>
      <c r="J208" s="136">
        <f t="shared" si="21"/>
        <v>0</v>
      </c>
      <c r="K208" s="136" t="e">
        <f t="shared" si="21"/>
        <v>#REF!</v>
      </c>
      <c r="L208" s="135">
        <f>SUM(L209:L252)</f>
        <v>0</v>
      </c>
      <c r="M208" s="135" t="e">
        <f>SUM(M209:M268)</f>
        <v>#REF!</v>
      </c>
      <c r="N208" s="144">
        <f>SUM(N209:N252)</f>
        <v>0</v>
      </c>
      <c r="O208" s="135" t="e">
        <f>SUM(O209:O268)</f>
        <v>#REF!</v>
      </c>
      <c r="P208" s="135">
        <f>SUM(P209:P252)</f>
        <v>0</v>
      </c>
      <c r="Q208" s="135">
        <f>SUM(Q209:Q252)</f>
        <v>4496.96</v>
      </c>
      <c r="R208" s="141"/>
      <c r="S208" s="141"/>
      <c r="T208" s="141"/>
      <c r="U208" s="141"/>
      <c r="V208" s="141"/>
      <c r="W208" s="141"/>
      <c r="X208" s="135">
        <f>SUM(X209:X252)</f>
        <v>0</v>
      </c>
      <c r="Y208" s="135">
        <f>SUM(Y209:Y252)</f>
        <v>11153.459</v>
      </c>
      <c r="Z208" s="141"/>
      <c r="AA208" s="141"/>
      <c r="AB208" s="141"/>
      <c r="AC208" s="141"/>
      <c r="AD208" s="141"/>
      <c r="AE208" s="141"/>
      <c r="AF208" s="135">
        <f>SUM(AF209:AF252)</f>
        <v>0</v>
      </c>
      <c r="AG208" s="135" t="e">
        <f>SUM(AG209:AG252)</f>
        <v>#REF!</v>
      </c>
      <c r="AH208" s="136"/>
      <c r="AI208" s="136"/>
      <c r="AJ208" s="136"/>
      <c r="AK208" s="136"/>
      <c r="AL208" s="136"/>
      <c r="AM208" s="136"/>
      <c r="AN208" s="135">
        <f>SUM(AN209:AN252)</f>
        <v>0</v>
      </c>
      <c r="AO208" s="135" t="e">
        <f>SUM(AO209:AO252)</f>
        <v>#REF!</v>
      </c>
    </row>
    <row r="209" spans="1:41" ht="33">
      <c r="A209" s="166">
        <v>3111</v>
      </c>
      <c r="B209" s="2">
        <v>60</v>
      </c>
      <c r="C209" s="2">
        <v>921</v>
      </c>
      <c r="D209" s="8">
        <v>70499</v>
      </c>
      <c r="E209" s="84" t="s">
        <v>215</v>
      </c>
      <c r="F209" s="10"/>
      <c r="G209" s="10">
        <v>5978</v>
      </c>
      <c r="H209" s="136"/>
      <c r="I209" s="136">
        <f>'USD 19-21'!J184*69.2</f>
        <v>147209.16000000003</v>
      </c>
      <c r="J209" s="136"/>
      <c r="K209" s="136"/>
      <c r="L209" s="136"/>
      <c r="M209" s="136"/>
      <c r="N209" s="140"/>
      <c r="O209" s="139"/>
      <c r="P209" s="136"/>
      <c r="Q209" s="136">
        <v>200.16</v>
      </c>
      <c r="R209" s="136"/>
      <c r="S209" s="136"/>
      <c r="T209" s="136"/>
      <c r="U209" s="136"/>
      <c r="V209" s="136"/>
      <c r="W209" s="136"/>
      <c r="X209" s="136"/>
      <c r="Y209" s="136">
        <v>1128.31</v>
      </c>
      <c r="Z209" s="136"/>
      <c r="AA209" s="136"/>
      <c r="AB209" s="136"/>
      <c r="AC209" s="136"/>
      <c r="AD209" s="136"/>
      <c r="AE209" s="136"/>
      <c r="AF209" s="136"/>
      <c r="AG209" s="136">
        <v>1439.67</v>
      </c>
      <c r="AH209" s="136"/>
      <c r="AI209" s="136"/>
      <c r="AJ209" s="136"/>
      <c r="AK209" s="136"/>
      <c r="AL209" s="136"/>
      <c r="AM209" s="136"/>
      <c r="AN209" s="136"/>
      <c r="AO209" s="136">
        <f>I209-Q209-Y209-AG209</f>
        <v>144441.02000000002</v>
      </c>
    </row>
    <row r="210" spans="1:41" ht="33">
      <c r="A210" s="165">
        <v>3214</v>
      </c>
      <c r="B210" s="2">
        <v>60</v>
      </c>
      <c r="C210" s="2">
        <v>931</v>
      </c>
      <c r="D210" s="8">
        <v>70499</v>
      </c>
      <c r="E210" s="168" t="s">
        <v>218</v>
      </c>
      <c r="F210" s="10"/>
      <c r="G210" s="10">
        <v>5352</v>
      </c>
      <c r="H210" s="136"/>
      <c r="I210" s="136">
        <f>'USD 19-21'!J185*69.2</f>
        <v>138074.76</v>
      </c>
      <c r="J210" s="136"/>
      <c r="K210" s="136"/>
      <c r="L210" s="136"/>
      <c r="M210" s="136"/>
      <c r="N210" s="140"/>
      <c r="O210" s="139"/>
      <c r="P210" s="136"/>
      <c r="Q210" s="136">
        <v>1093.99</v>
      </c>
      <c r="R210" s="136"/>
      <c r="S210" s="136"/>
      <c r="T210" s="136"/>
      <c r="U210" s="136"/>
      <c r="V210" s="136"/>
      <c r="W210" s="136"/>
      <c r="X210" s="136"/>
      <c r="Y210" s="136">
        <v>781.04</v>
      </c>
      <c r="Z210" s="136"/>
      <c r="AA210" s="136"/>
      <c r="AB210" s="136"/>
      <c r="AC210" s="136"/>
      <c r="AD210" s="136"/>
      <c r="AE210" s="136"/>
      <c r="AF210" s="136"/>
      <c r="AG210" s="136">
        <v>1508.62</v>
      </c>
      <c r="AH210" s="136"/>
      <c r="AI210" s="136"/>
      <c r="AJ210" s="136"/>
      <c r="AK210" s="136"/>
      <c r="AL210" s="136"/>
      <c r="AM210" s="136"/>
      <c r="AN210" s="136"/>
      <c r="AO210" s="136">
        <f>I210-Q210-Y210-AG210</f>
        <v>134691.11000000002</v>
      </c>
    </row>
    <row r="211" spans="1:41" ht="33">
      <c r="A211" s="1">
        <v>3111</v>
      </c>
      <c r="B211" s="2">
        <v>60</v>
      </c>
      <c r="C211" s="2">
        <v>921</v>
      </c>
      <c r="D211" s="8">
        <v>70499</v>
      </c>
      <c r="E211" s="84" t="s">
        <v>216</v>
      </c>
      <c r="F211" s="10"/>
      <c r="G211" s="10">
        <v>5000</v>
      </c>
      <c r="H211" s="136"/>
      <c r="I211" s="136">
        <f>'USD 19-21'!J186*69.2</f>
        <v>98748.40000000001</v>
      </c>
      <c r="J211" s="136"/>
      <c r="K211" s="136"/>
      <c r="L211" s="136"/>
      <c r="M211" s="136">
        <f>'USD 19-21'!L186*72.4</f>
        <v>251952.00000000003</v>
      </c>
      <c r="N211" s="137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  <c r="AB211" s="136"/>
      <c r="AC211" s="136"/>
      <c r="AD211" s="136"/>
      <c r="AE211" s="136"/>
      <c r="AF211" s="136"/>
      <c r="AG211" s="136">
        <f>I211/2</f>
        <v>49374.200000000004</v>
      </c>
      <c r="AH211" s="136"/>
      <c r="AI211" s="136"/>
      <c r="AJ211" s="136"/>
      <c r="AK211" s="136"/>
      <c r="AL211" s="136"/>
      <c r="AM211" s="136"/>
      <c r="AN211" s="136"/>
      <c r="AO211" s="136">
        <f>I211/2</f>
        <v>49374.200000000004</v>
      </c>
    </row>
    <row r="212" spans="1:41" s="66" customFormat="1" ht="33">
      <c r="A212" s="169">
        <v>3214</v>
      </c>
      <c r="B212" s="2">
        <v>60</v>
      </c>
      <c r="C212" s="2">
        <v>931</v>
      </c>
      <c r="D212" s="12">
        <v>70499</v>
      </c>
      <c r="E212" s="168" t="s">
        <v>217</v>
      </c>
      <c r="F212" s="10"/>
      <c r="G212" s="10">
        <v>3500</v>
      </c>
      <c r="H212" s="136"/>
      <c r="I212" s="136">
        <f>'USD 19-21'!J187*69.2</f>
        <v>108644</v>
      </c>
      <c r="J212" s="136"/>
      <c r="K212" s="136"/>
      <c r="L212" s="136"/>
      <c r="M212" s="136">
        <f>'USD 19-21'!L187*72.4</f>
        <v>251952.00000000003</v>
      </c>
      <c r="N212" s="137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  <c r="AB212" s="136"/>
      <c r="AC212" s="136"/>
      <c r="AD212" s="136"/>
      <c r="AE212" s="136"/>
      <c r="AF212" s="136"/>
      <c r="AG212" s="136">
        <f>I212/2</f>
        <v>54322</v>
      </c>
      <c r="AH212" s="136"/>
      <c r="AI212" s="136"/>
      <c r="AJ212" s="136"/>
      <c r="AK212" s="136"/>
      <c r="AL212" s="136"/>
      <c r="AM212" s="136"/>
      <c r="AN212" s="136"/>
      <c r="AO212" s="136">
        <f>I212/2</f>
        <v>54322</v>
      </c>
    </row>
    <row r="213" spans="1:41" ht="33">
      <c r="A213" s="1">
        <v>3111</v>
      </c>
      <c r="B213" s="2">
        <v>60</v>
      </c>
      <c r="C213" s="2">
        <v>921</v>
      </c>
      <c r="D213" s="8">
        <v>70499</v>
      </c>
      <c r="E213" s="84" t="s">
        <v>182</v>
      </c>
      <c r="F213" s="10"/>
      <c r="G213" s="10">
        <v>2000</v>
      </c>
      <c r="H213" s="136"/>
      <c r="I213" s="136" t="e">
        <f>'USD 19-21'!#REF!*69.2</f>
        <v>#REF!</v>
      </c>
      <c r="J213" s="136"/>
      <c r="K213" s="136"/>
      <c r="L213" s="136"/>
      <c r="M213" s="136" t="e">
        <f>'USD 19-21'!#REF!*72.4</f>
        <v>#REF!</v>
      </c>
      <c r="N213" s="137"/>
      <c r="O213" s="136"/>
      <c r="P213" s="141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36" t="e">
        <f>I213/2</f>
        <v>#REF!</v>
      </c>
      <c r="AH213" s="136"/>
      <c r="AI213" s="136"/>
      <c r="AJ213" s="136"/>
      <c r="AK213" s="136"/>
      <c r="AL213" s="136"/>
      <c r="AM213" s="136"/>
      <c r="AN213" s="136"/>
      <c r="AO213" s="136" t="e">
        <f>I213/2</f>
        <v>#REF!</v>
      </c>
    </row>
    <row r="214" spans="1:41" ht="33">
      <c r="A214" s="165">
        <v>3214</v>
      </c>
      <c r="B214" s="2">
        <v>60</v>
      </c>
      <c r="C214" s="2">
        <v>931</v>
      </c>
      <c r="D214" s="8">
        <v>70499</v>
      </c>
      <c r="E214" s="168" t="s">
        <v>183</v>
      </c>
      <c r="F214" s="10"/>
      <c r="G214" s="10">
        <v>1000</v>
      </c>
      <c r="H214" s="136"/>
      <c r="I214" s="136" t="e">
        <f>'USD 19-21'!#REF!*69.2</f>
        <v>#REF!</v>
      </c>
      <c r="J214" s="136"/>
      <c r="K214" s="136"/>
      <c r="L214" s="136"/>
      <c r="M214" s="136" t="e">
        <f>'USD 19-21'!#REF!*72.4</f>
        <v>#REF!</v>
      </c>
      <c r="N214" s="137"/>
      <c r="O214" s="136"/>
      <c r="P214" s="138"/>
      <c r="Q214" s="138"/>
      <c r="R214" s="138"/>
      <c r="S214" s="138"/>
      <c r="T214" s="138"/>
      <c r="U214" s="138"/>
      <c r="V214" s="138"/>
      <c r="W214" s="138"/>
      <c r="X214" s="138"/>
      <c r="Y214" s="138"/>
      <c r="Z214" s="138"/>
      <c r="AA214" s="138"/>
      <c r="AB214" s="138"/>
      <c r="AC214" s="138"/>
      <c r="AD214" s="138"/>
      <c r="AE214" s="138"/>
      <c r="AF214" s="138"/>
      <c r="AG214" s="136" t="e">
        <f>I214/2</f>
        <v>#REF!</v>
      </c>
      <c r="AH214" s="136"/>
      <c r="AI214" s="136"/>
      <c r="AJ214" s="136"/>
      <c r="AK214" s="136"/>
      <c r="AL214" s="136"/>
      <c r="AM214" s="136"/>
      <c r="AN214" s="136"/>
      <c r="AO214" s="136" t="e">
        <f>I214/2</f>
        <v>#REF!</v>
      </c>
    </row>
    <row r="215" spans="1:41" ht="16.5">
      <c r="A215" s="1">
        <v>3111</v>
      </c>
      <c r="B215" s="2">
        <v>60</v>
      </c>
      <c r="C215" s="2">
        <v>921</v>
      </c>
      <c r="D215" s="8">
        <v>70499</v>
      </c>
      <c r="E215" s="9" t="s">
        <v>229</v>
      </c>
      <c r="F215" s="10"/>
      <c r="G215" s="10"/>
      <c r="H215" s="136"/>
      <c r="I215" s="136"/>
      <c r="J215" s="136"/>
      <c r="K215" s="136"/>
      <c r="L215" s="136"/>
      <c r="M215" s="136"/>
      <c r="N215" s="137"/>
      <c r="O215" s="136"/>
      <c r="P215" s="135"/>
      <c r="Q215" s="136">
        <v>343.06</v>
      </c>
      <c r="R215" s="136"/>
      <c r="S215" s="136"/>
      <c r="T215" s="136"/>
      <c r="U215" s="136"/>
      <c r="V215" s="136"/>
      <c r="W215" s="136"/>
      <c r="X215" s="136"/>
      <c r="Y215" s="136">
        <v>139.169</v>
      </c>
      <c r="Z215" s="136"/>
      <c r="AA215" s="136"/>
      <c r="AB215" s="136"/>
      <c r="AC215" s="136"/>
      <c r="AD215" s="136"/>
      <c r="AE215" s="136"/>
      <c r="AF215" s="136"/>
      <c r="AG215" s="136">
        <v>139.169</v>
      </c>
      <c r="AH215" s="136"/>
      <c r="AI215" s="136"/>
      <c r="AJ215" s="136"/>
      <c r="AK215" s="136"/>
      <c r="AL215" s="136"/>
      <c r="AM215" s="136"/>
      <c r="AN215" s="136"/>
      <c r="AO215" s="136"/>
    </row>
    <row r="216" spans="1:41" ht="16.5">
      <c r="A216" s="165">
        <v>3214</v>
      </c>
      <c r="B216" s="2">
        <v>60</v>
      </c>
      <c r="C216" s="2">
        <v>931</v>
      </c>
      <c r="D216" s="8">
        <v>70499</v>
      </c>
      <c r="E216" s="9" t="s">
        <v>230</v>
      </c>
      <c r="F216" s="10"/>
      <c r="G216" s="10"/>
      <c r="H216" s="136"/>
      <c r="I216" s="136"/>
      <c r="J216" s="136"/>
      <c r="K216" s="136"/>
      <c r="L216" s="136"/>
      <c r="M216" s="136"/>
      <c r="N216" s="137"/>
      <c r="O216" s="136"/>
      <c r="P216" s="136"/>
      <c r="Q216" s="136">
        <f>I216/4</f>
        <v>0</v>
      </c>
      <c r="R216" s="136"/>
      <c r="S216" s="136"/>
      <c r="T216" s="136"/>
      <c r="U216" s="136"/>
      <c r="V216" s="136"/>
      <c r="W216" s="136"/>
      <c r="X216" s="136"/>
      <c r="Y216" s="136">
        <f>I216/2</f>
        <v>0</v>
      </c>
      <c r="Z216" s="136"/>
      <c r="AA216" s="136"/>
      <c r="AB216" s="136"/>
      <c r="AC216" s="136"/>
      <c r="AD216" s="136"/>
      <c r="AE216" s="136"/>
      <c r="AF216" s="136"/>
      <c r="AG216" s="136">
        <f>I216/4</f>
        <v>0</v>
      </c>
      <c r="AH216" s="136"/>
      <c r="AI216" s="136"/>
      <c r="AJ216" s="136"/>
      <c r="AK216" s="136"/>
      <c r="AL216" s="136"/>
      <c r="AM216" s="136"/>
      <c r="AN216" s="136"/>
      <c r="AO216" s="136"/>
    </row>
    <row r="217" spans="1:41" ht="16.5">
      <c r="A217" s="1">
        <v>3111</v>
      </c>
      <c r="B217" s="2">
        <v>60</v>
      </c>
      <c r="C217" s="2">
        <v>921</v>
      </c>
      <c r="D217" s="8">
        <v>70499</v>
      </c>
      <c r="E217" s="84" t="s">
        <v>275</v>
      </c>
      <c r="F217" s="10"/>
      <c r="G217" s="10">
        <v>1500</v>
      </c>
      <c r="H217" s="136"/>
      <c r="I217" s="136" t="e">
        <f>'USD 19-21'!#REF!*69.2</f>
        <v>#REF!</v>
      </c>
      <c r="J217" s="136"/>
      <c r="K217" s="136"/>
      <c r="L217" s="136"/>
      <c r="M217" s="136"/>
      <c r="N217" s="137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>
        <v>500</v>
      </c>
      <c r="Z217" s="136"/>
      <c r="AA217" s="136"/>
      <c r="AB217" s="136"/>
      <c r="AC217" s="136"/>
      <c r="AD217" s="136"/>
      <c r="AE217" s="136"/>
      <c r="AF217" s="136"/>
      <c r="AG217" s="136">
        <v>500</v>
      </c>
      <c r="AH217" s="136"/>
      <c r="AI217" s="136"/>
      <c r="AJ217" s="136"/>
      <c r="AK217" s="136"/>
      <c r="AL217" s="136"/>
      <c r="AM217" s="136"/>
      <c r="AN217" s="136"/>
      <c r="AO217" s="136">
        <v>500</v>
      </c>
    </row>
    <row r="218" spans="1:41" ht="16.5">
      <c r="A218" s="165">
        <v>3214</v>
      </c>
      <c r="B218" s="2">
        <v>60</v>
      </c>
      <c r="C218" s="2">
        <v>931</v>
      </c>
      <c r="D218" s="8">
        <v>70499</v>
      </c>
      <c r="E218" s="168" t="s">
        <v>276</v>
      </c>
      <c r="F218" s="10"/>
      <c r="G218" s="10">
        <v>3000</v>
      </c>
      <c r="H218" s="136"/>
      <c r="I218" s="136" t="e">
        <f>'USD 19-21'!#REF!*69.2</f>
        <v>#REF!</v>
      </c>
      <c r="J218" s="136"/>
      <c r="K218" s="136"/>
      <c r="L218" s="136"/>
      <c r="M218" s="136"/>
      <c r="N218" s="137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>
        <v>1000</v>
      </c>
      <c r="Z218" s="136"/>
      <c r="AA218" s="136"/>
      <c r="AB218" s="136"/>
      <c r="AC218" s="136"/>
      <c r="AD218" s="136"/>
      <c r="AE218" s="136"/>
      <c r="AF218" s="136"/>
      <c r="AG218" s="136">
        <v>1000</v>
      </c>
      <c r="AH218" s="136"/>
      <c r="AI218" s="136"/>
      <c r="AJ218" s="136"/>
      <c r="AK218" s="136"/>
      <c r="AL218" s="136"/>
      <c r="AM218" s="136"/>
      <c r="AN218" s="136"/>
      <c r="AO218" s="136">
        <v>1000</v>
      </c>
    </row>
    <row r="219" spans="1:41" ht="18" customHeight="1">
      <c r="A219" s="1">
        <v>3111</v>
      </c>
      <c r="B219" s="2">
        <v>60</v>
      </c>
      <c r="C219" s="2">
        <v>921</v>
      </c>
      <c r="D219" s="8">
        <v>70499</v>
      </c>
      <c r="E219" s="9" t="s">
        <v>32</v>
      </c>
      <c r="F219" s="10"/>
      <c r="G219" s="10">
        <v>1000</v>
      </c>
      <c r="H219" s="136"/>
      <c r="I219" s="136"/>
      <c r="J219" s="136"/>
      <c r="K219" s="136"/>
      <c r="L219" s="136"/>
      <c r="M219" s="136"/>
      <c r="N219" s="140"/>
      <c r="O219" s="139"/>
      <c r="P219" s="141"/>
      <c r="Q219" s="136">
        <v>300</v>
      </c>
      <c r="R219" s="141"/>
      <c r="S219" s="141"/>
      <c r="T219" s="141"/>
      <c r="U219" s="141"/>
      <c r="V219" s="141"/>
      <c r="W219" s="141"/>
      <c r="X219" s="141"/>
      <c r="Y219" s="136">
        <v>700</v>
      </c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  <c r="AJ219" s="141"/>
      <c r="AK219" s="141"/>
      <c r="AL219" s="141"/>
      <c r="AM219" s="141"/>
      <c r="AN219" s="141"/>
      <c r="AO219" s="141"/>
    </row>
    <row r="220" spans="1:41" ht="18" customHeight="1">
      <c r="A220" s="165">
        <v>3214</v>
      </c>
      <c r="B220" s="2">
        <v>60</v>
      </c>
      <c r="C220" s="2">
        <v>931</v>
      </c>
      <c r="D220" s="8">
        <v>70499</v>
      </c>
      <c r="E220" s="9" t="s">
        <v>24</v>
      </c>
      <c r="F220" s="10"/>
      <c r="G220" s="10">
        <v>1500</v>
      </c>
      <c r="H220" s="136"/>
      <c r="I220" s="136"/>
      <c r="J220" s="136"/>
      <c r="K220" s="136"/>
      <c r="L220" s="136"/>
      <c r="M220" s="136"/>
      <c r="N220" s="140"/>
      <c r="O220" s="139"/>
      <c r="P220" s="138"/>
      <c r="Q220" s="136">
        <v>500</v>
      </c>
      <c r="R220" s="138"/>
      <c r="S220" s="138"/>
      <c r="T220" s="138"/>
      <c r="U220" s="138"/>
      <c r="V220" s="138"/>
      <c r="W220" s="138"/>
      <c r="X220" s="138"/>
      <c r="Y220" s="136">
        <v>1000</v>
      </c>
      <c r="Z220" s="138"/>
      <c r="AA220" s="138"/>
      <c r="AB220" s="138"/>
      <c r="AC220" s="138"/>
      <c r="AD220" s="138"/>
      <c r="AE220" s="138"/>
      <c r="AF220" s="138"/>
      <c r="AG220" s="138"/>
      <c r="AH220" s="138"/>
      <c r="AI220" s="138"/>
      <c r="AJ220" s="138"/>
      <c r="AK220" s="138"/>
      <c r="AL220" s="138"/>
      <c r="AM220" s="138"/>
      <c r="AN220" s="138"/>
      <c r="AO220" s="138"/>
    </row>
    <row r="221" spans="1:41" ht="23.25" customHeight="1">
      <c r="A221" s="1">
        <v>3111</v>
      </c>
      <c r="B221" s="2">
        <v>60</v>
      </c>
      <c r="C221" s="2">
        <v>921</v>
      </c>
      <c r="D221" s="8">
        <v>70499</v>
      </c>
      <c r="E221" s="9" t="s">
        <v>233</v>
      </c>
      <c r="F221" s="10"/>
      <c r="G221" s="10">
        <v>780</v>
      </c>
      <c r="H221" s="136"/>
      <c r="I221" s="136"/>
      <c r="J221" s="136"/>
      <c r="K221" s="136"/>
      <c r="L221" s="136"/>
      <c r="M221" s="136"/>
      <c r="N221" s="140"/>
      <c r="O221" s="139"/>
      <c r="P221" s="136"/>
      <c r="Q221" s="136">
        <f>I221/4</f>
        <v>0</v>
      </c>
      <c r="R221" s="136"/>
      <c r="S221" s="136"/>
      <c r="T221" s="136"/>
      <c r="U221" s="136"/>
      <c r="V221" s="136"/>
      <c r="W221" s="136"/>
      <c r="X221" s="136"/>
      <c r="Y221" s="136">
        <f>I221/4</f>
        <v>0</v>
      </c>
      <c r="Z221" s="136"/>
      <c r="AA221" s="136"/>
      <c r="AB221" s="136"/>
      <c r="AC221" s="136"/>
      <c r="AD221" s="136"/>
      <c r="AE221" s="136"/>
      <c r="AF221" s="136"/>
      <c r="AG221" s="136">
        <f>I221/4</f>
        <v>0</v>
      </c>
      <c r="AH221" s="136"/>
      <c r="AI221" s="136"/>
      <c r="AJ221" s="136"/>
      <c r="AK221" s="136"/>
      <c r="AL221" s="136"/>
      <c r="AM221" s="136"/>
      <c r="AN221" s="136"/>
      <c r="AO221" s="136">
        <f>I221/4+0.01</f>
        <v>0.01</v>
      </c>
    </row>
    <row r="222" spans="1:41" ht="23.25" customHeight="1">
      <c r="A222" s="1">
        <v>3111</v>
      </c>
      <c r="B222" s="2">
        <v>60</v>
      </c>
      <c r="C222" s="2">
        <v>921</v>
      </c>
      <c r="D222" s="8">
        <v>70499</v>
      </c>
      <c r="E222" s="9" t="s">
        <v>234</v>
      </c>
      <c r="F222" s="10"/>
      <c r="G222" s="10"/>
      <c r="H222" s="136"/>
      <c r="I222" s="136"/>
      <c r="J222" s="136"/>
      <c r="K222" s="136"/>
      <c r="L222" s="136"/>
      <c r="M222" s="136"/>
      <c r="N222" s="140"/>
      <c r="O222" s="139"/>
      <c r="P222" s="145"/>
      <c r="Q222" s="136">
        <f>I222/4</f>
        <v>0</v>
      </c>
      <c r="R222" s="145"/>
      <c r="S222" s="145"/>
      <c r="T222" s="145"/>
      <c r="U222" s="145"/>
      <c r="V222" s="145"/>
      <c r="W222" s="145"/>
      <c r="X222" s="145"/>
      <c r="Y222" s="136">
        <f>I222/4</f>
        <v>0</v>
      </c>
      <c r="Z222" s="145"/>
      <c r="AA222" s="145"/>
      <c r="AB222" s="145"/>
      <c r="AC222" s="145"/>
      <c r="AD222" s="145"/>
      <c r="AE222" s="145"/>
      <c r="AF222" s="145"/>
      <c r="AG222" s="136">
        <f>I222/4</f>
        <v>0</v>
      </c>
      <c r="AH222" s="145"/>
      <c r="AI222" s="145"/>
      <c r="AJ222" s="145"/>
      <c r="AK222" s="145"/>
      <c r="AL222" s="145"/>
      <c r="AM222" s="145"/>
      <c r="AN222" s="145"/>
      <c r="AO222" s="136">
        <f>I222/4</f>
        <v>0</v>
      </c>
    </row>
    <row r="223" spans="1:41" ht="33">
      <c r="A223" s="166">
        <v>3111</v>
      </c>
      <c r="B223" s="2">
        <v>60</v>
      </c>
      <c r="C223" s="2">
        <v>921</v>
      </c>
      <c r="D223" s="8">
        <v>70499</v>
      </c>
      <c r="E223" s="84" t="s">
        <v>231</v>
      </c>
      <c r="F223" s="10"/>
      <c r="G223" s="10">
        <v>2085.7</v>
      </c>
      <c r="H223" s="136"/>
      <c r="I223" s="136">
        <f>'USD 19-21'!J190*69.2</f>
        <v>162481.6</v>
      </c>
      <c r="J223" s="136"/>
      <c r="K223" s="136"/>
      <c r="L223" s="136"/>
      <c r="M223" s="136">
        <f>'USD 19-21'!L190*72.4</f>
        <v>251083.2</v>
      </c>
      <c r="N223" s="140"/>
      <c r="O223" s="139"/>
      <c r="P223" s="145"/>
      <c r="Q223" s="136">
        <v>285.7</v>
      </c>
      <c r="R223" s="145"/>
      <c r="S223" s="145"/>
      <c r="T223" s="145"/>
      <c r="U223" s="145"/>
      <c r="V223" s="145"/>
      <c r="W223" s="145"/>
      <c r="X223" s="145"/>
      <c r="Y223" s="136">
        <v>600</v>
      </c>
      <c r="Z223" s="136"/>
      <c r="AA223" s="136"/>
      <c r="AB223" s="136"/>
      <c r="AC223" s="136"/>
      <c r="AD223" s="136"/>
      <c r="AE223" s="136"/>
      <c r="AF223" s="136"/>
      <c r="AG223" s="136">
        <v>600</v>
      </c>
      <c r="AH223" s="136"/>
      <c r="AI223" s="136"/>
      <c r="AJ223" s="136"/>
      <c r="AK223" s="136"/>
      <c r="AL223" s="136"/>
      <c r="AM223" s="136"/>
      <c r="AN223" s="136"/>
      <c r="AO223" s="136">
        <v>600</v>
      </c>
    </row>
    <row r="224" spans="1:41" ht="16.5">
      <c r="A224" s="165">
        <v>3214</v>
      </c>
      <c r="B224" s="2">
        <v>60</v>
      </c>
      <c r="C224" s="2">
        <v>931</v>
      </c>
      <c r="D224" s="8">
        <v>70499</v>
      </c>
      <c r="E224" s="168" t="s">
        <v>232</v>
      </c>
      <c r="F224" s="10"/>
      <c r="G224" s="10">
        <v>2085.7</v>
      </c>
      <c r="H224" s="136"/>
      <c r="I224" s="136">
        <f>'USD 19-21'!J191*69.2</f>
        <v>362608</v>
      </c>
      <c r="J224" s="136"/>
      <c r="K224" s="136"/>
      <c r="L224" s="136"/>
      <c r="M224" s="136">
        <f>'USD 19-21'!L191*72.4</f>
        <v>89776</v>
      </c>
      <c r="N224" s="140"/>
      <c r="O224" s="139"/>
      <c r="P224" s="142"/>
      <c r="Q224" s="136">
        <v>285.7</v>
      </c>
      <c r="R224" s="142"/>
      <c r="S224" s="142"/>
      <c r="T224" s="142"/>
      <c r="U224" s="142"/>
      <c r="V224" s="142"/>
      <c r="W224" s="142"/>
      <c r="X224" s="142"/>
      <c r="Y224" s="136">
        <v>600</v>
      </c>
      <c r="Z224" s="136"/>
      <c r="AA224" s="136"/>
      <c r="AB224" s="136"/>
      <c r="AC224" s="136"/>
      <c r="AD224" s="136"/>
      <c r="AE224" s="136"/>
      <c r="AF224" s="136"/>
      <c r="AG224" s="136">
        <v>600</v>
      </c>
      <c r="AH224" s="136"/>
      <c r="AI224" s="136"/>
      <c r="AJ224" s="136"/>
      <c r="AK224" s="136"/>
      <c r="AL224" s="136"/>
      <c r="AM224" s="136"/>
      <c r="AN224" s="136"/>
      <c r="AO224" s="136">
        <v>600</v>
      </c>
    </row>
    <row r="225" spans="1:41" ht="18" customHeight="1">
      <c r="A225" s="1">
        <v>3111</v>
      </c>
      <c r="B225" s="163">
        <v>60</v>
      </c>
      <c r="C225" s="163">
        <v>921</v>
      </c>
      <c r="D225" s="164">
        <v>70499</v>
      </c>
      <c r="E225" s="113" t="s">
        <v>260</v>
      </c>
      <c r="F225" s="10"/>
      <c r="G225" s="10"/>
      <c r="H225" s="136"/>
      <c r="I225" s="136"/>
      <c r="J225" s="136"/>
      <c r="K225" s="136"/>
      <c r="L225" s="136"/>
      <c r="M225" s="136"/>
      <c r="N225" s="140"/>
      <c r="O225" s="139"/>
      <c r="P225" s="142"/>
      <c r="Q225" s="136"/>
      <c r="R225" s="142"/>
      <c r="S225" s="136"/>
      <c r="T225" s="142"/>
      <c r="U225" s="136"/>
      <c r="V225" s="142"/>
      <c r="W225" s="136"/>
      <c r="X225" s="142"/>
      <c r="Y225" s="136"/>
      <c r="Z225" s="142"/>
      <c r="AA225" s="136"/>
      <c r="AB225" s="142"/>
      <c r="AC225" s="136"/>
      <c r="AD225" s="142"/>
      <c r="AE225" s="136"/>
      <c r="AF225" s="142"/>
      <c r="AG225" s="136"/>
      <c r="AH225" s="142"/>
      <c r="AI225" s="136"/>
      <c r="AJ225" s="142"/>
      <c r="AK225" s="136"/>
      <c r="AL225" s="142"/>
      <c r="AM225" s="136"/>
      <c r="AN225" s="142"/>
      <c r="AO225" s="136"/>
    </row>
    <row r="226" spans="1:41" ht="18" customHeight="1">
      <c r="A226" s="165">
        <v>3214</v>
      </c>
      <c r="B226" s="163">
        <v>60</v>
      </c>
      <c r="C226" s="163">
        <v>931</v>
      </c>
      <c r="D226" s="164">
        <v>70499</v>
      </c>
      <c r="E226" s="113" t="s">
        <v>261</v>
      </c>
      <c r="F226" s="10"/>
      <c r="G226" s="10"/>
      <c r="H226" s="136"/>
      <c r="I226" s="136"/>
      <c r="J226" s="136"/>
      <c r="K226" s="136"/>
      <c r="L226" s="136"/>
      <c r="M226" s="136"/>
      <c r="N226" s="140"/>
      <c r="O226" s="139"/>
      <c r="P226" s="142"/>
      <c r="Q226" s="136"/>
      <c r="R226" s="142"/>
      <c r="S226" s="136"/>
      <c r="T226" s="142"/>
      <c r="U226" s="136"/>
      <c r="V226" s="142"/>
      <c r="W226" s="136"/>
      <c r="X226" s="142"/>
      <c r="Y226" s="136"/>
      <c r="Z226" s="142"/>
      <c r="AA226" s="136"/>
      <c r="AB226" s="142"/>
      <c r="AC226" s="136"/>
      <c r="AD226" s="142"/>
      <c r="AE226" s="136"/>
      <c r="AF226" s="142"/>
      <c r="AG226" s="136"/>
      <c r="AH226" s="142"/>
      <c r="AI226" s="136"/>
      <c r="AJ226" s="142"/>
      <c r="AK226" s="136"/>
      <c r="AL226" s="142"/>
      <c r="AM226" s="136"/>
      <c r="AN226" s="142"/>
      <c r="AO226" s="136"/>
    </row>
    <row r="227" spans="1:41" ht="33">
      <c r="A227" s="166">
        <v>3111</v>
      </c>
      <c r="B227" s="2">
        <v>60</v>
      </c>
      <c r="C227" s="2">
        <v>921</v>
      </c>
      <c r="D227" s="8">
        <v>70499</v>
      </c>
      <c r="E227" s="84" t="s">
        <v>203</v>
      </c>
      <c r="F227" s="10"/>
      <c r="G227" s="10">
        <v>1342.2</v>
      </c>
      <c r="H227" s="136"/>
      <c r="I227" s="136" t="e">
        <f>'USD 19-21'!#REF!*69.2</f>
        <v>#REF!</v>
      </c>
      <c r="J227" s="136"/>
      <c r="K227" s="136"/>
      <c r="L227" s="136"/>
      <c r="M227" s="136"/>
      <c r="N227" s="140"/>
      <c r="O227" s="139"/>
      <c r="P227" s="136"/>
      <c r="Q227" s="136">
        <v>335</v>
      </c>
      <c r="R227" s="136"/>
      <c r="S227" s="136"/>
      <c r="T227" s="136"/>
      <c r="U227" s="136"/>
      <c r="V227" s="136"/>
      <c r="W227" s="136"/>
      <c r="X227" s="136"/>
      <c r="Y227" s="136">
        <v>565</v>
      </c>
      <c r="Z227" s="136"/>
      <c r="AA227" s="136"/>
      <c r="AB227" s="136"/>
      <c r="AC227" s="136"/>
      <c r="AD227" s="136"/>
      <c r="AE227" s="136"/>
      <c r="AF227" s="136"/>
      <c r="AG227" s="136">
        <v>565</v>
      </c>
      <c r="AH227" s="136"/>
      <c r="AI227" s="136"/>
      <c r="AJ227" s="136"/>
      <c r="AK227" s="136"/>
      <c r="AL227" s="136"/>
      <c r="AM227" s="136"/>
      <c r="AN227" s="136"/>
      <c r="AO227" s="136" t="e">
        <f>I227-Q227-Y227-AG227</f>
        <v>#REF!</v>
      </c>
    </row>
    <row r="228" spans="1:41" ht="33">
      <c r="A228" s="165">
        <v>3214</v>
      </c>
      <c r="B228" s="2">
        <v>60</v>
      </c>
      <c r="C228" s="2">
        <v>931</v>
      </c>
      <c r="D228" s="8">
        <v>70499</v>
      </c>
      <c r="E228" s="168" t="s">
        <v>184</v>
      </c>
      <c r="F228" s="10"/>
      <c r="G228" s="10">
        <v>570.2</v>
      </c>
      <c r="H228" s="136"/>
      <c r="I228" s="136"/>
      <c r="J228" s="136"/>
      <c r="K228" s="136"/>
      <c r="L228" s="136"/>
      <c r="M228" s="136"/>
      <c r="N228" s="140"/>
      <c r="O228" s="139"/>
      <c r="P228" s="136"/>
      <c r="Q228" s="136">
        <v>370</v>
      </c>
      <c r="R228" s="136"/>
      <c r="S228" s="136"/>
      <c r="T228" s="136"/>
      <c r="U228" s="136"/>
      <c r="V228" s="136"/>
      <c r="W228" s="136"/>
      <c r="X228" s="136"/>
      <c r="Y228" s="136">
        <v>242.7</v>
      </c>
      <c r="Z228" s="136"/>
      <c r="AA228" s="136"/>
      <c r="AB228" s="136"/>
      <c r="AC228" s="136"/>
      <c r="AD228" s="136"/>
      <c r="AE228" s="136"/>
      <c r="AF228" s="136"/>
      <c r="AG228" s="136">
        <v>242.7</v>
      </c>
      <c r="AH228" s="136"/>
      <c r="AI228" s="136"/>
      <c r="AJ228" s="136"/>
      <c r="AK228" s="136"/>
      <c r="AL228" s="136"/>
      <c r="AM228" s="136"/>
      <c r="AN228" s="136"/>
      <c r="AO228" s="136">
        <v>242.7</v>
      </c>
    </row>
    <row r="229" spans="1:41" ht="33">
      <c r="A229" s="1">
        <v>3111</v>
      </c>
      <c r="B229" s="2">
        <v>60</v>
      </c>
      <c r="C229" s="2">
        <v>921</v>
      </c>
      <c r="D229" s="8">
        <v>70499</v>
      </c>
      <c r="E229" s="84" t="s">
        <v>144</v>
      </c>
      <c r="F229" s="10"/>
      <c r="G229" s="10">
        <v>1200</v>
      </c>
      <c r="H229" s="136"/>
      <c r="I229" s="136">
        <f>'USD 19-21'!J193*69.2</f>
        <v>155354</v>
      </c>
      <c r="J229" s="136"/>
      <c r="K229" s="136"/>
      <c r="L229" s="136"/>
      <c r="M229" s="136">
        <f>'USD 19-21'!L193*72.4</f>
        <v>47422.00000000001</v>
      </c>
      <c r="N229" s="140"/>
      <c r="O229" s="136">
        <f>'USD 19-21'!N193*69.2</f>
        <v>0</v>
      </c>
      <c r="P229" s="136"/>
      <c r="Q229" s="136"/>
      <c r="R229" s="136"/>
      <c r="S229" s="136"/>
      <c r="T229" s="136"/>
      <c r="U229" s="136"/>
      <c r="V229" s="136"/>
      <c r="W229" s="136"/>
      <c r="X229" s="136"/>
      <c r="Y229" s="136">
        <v>370</v>
      </c>
      <c r="Z229" s="136"/>
      <c r="AA229" s="136"/>
      <c r="AB229" s="136"/>
      <c r="AC229" s="136"/>
      <c r="AD229" s="136"/>
      <c r="AE229" s="136"/>
      <c r="AF229" s="136"/>
      <c r="AG229" s="136">
        <v>400</v>
      </c>
      <c r="AH229" s="136"/>
      <c r="AI229" s="136"/>
      <c r="AJ229" s="136"/>
      <c r="AK229" s="136"/>
      <c r="AL229" s="136"/>
      <c r="AM229" s="136"/>
      <c r="AN229" s="136"/>
      <c r="AO229" s="136">
        <v>400</v>
      </c>
    </row>
    <row r="230" spans="1:41" ht="33">
      <c r="A230" s="165">
        <v>3214</v>
      </c>
      <c r="B230" s="2">
        <v>60</v>
      </c>
      <c r="C230" s="2">
        <v>931</v>
      </c>
      <c r="D230" s="8">
        <v>70499</v>
      </c>
      <c r="E230" s="168" t="s">
        <v>141</v>
      </c>
      <c r="F230" s="10"/>
      <c r="G230" s="10">
        <v>850</v>
      </c>
      <c r="H230" s="136"/>
      <c r="I230" s="136">
        <f>'USD 19-21'!J194*69.2</f>
        <v>100755.2</v>
      </c>
      <c r="J230" s="136"/>
      <c r="K230" s="136"/>
      <c r="L230" s="136"/>
      <c r="M230" s="136">
        <f>'USD 19-21'!L194*72.4</f>
        <v>62553.600000000006</v>
      </c>
      <c r="N230" s="140"/>
      <c r="O230" s="136">
        <f>'USD 19-21'!N194*69.2</f>
        <v>0</v>
      </c>
      <c r="P230" s="136"/>
      <c r="Q230" s="136"/>
      <c r="R230" s="136"/>
      <c r="S230" s="136"/>
      <c r="T230" s="136"/>
      <c r="U230" s="136"/>
      <c r="V230" s="136"/>
      <c r="W230" s="136"/>
      <c r="X230" s="136"/>
      <c r="Y230" s="136">
        <v>250</v>
      </c>
      <c r="Z230" s="136"/>
      <c r="AA230" s="136"/>
      <c r="AB230" s="136"/>
      <c r="AC230" s="136"/>
      <c r="AD230" s="136"/>
      <c r="AE230" s="136"/>
      <c r="AF230" s="136"/>
      <c r="AG230" s="136">
        <v>300</v>
      </c>
      <c r="AH230" s="136"/>
      <c r="AI230" s="136"/>
      <c r="AJ230" s="136"/>
      <c r="AK230" s="136"/>
      <c r="AL230" s="136"/>
      <c r="AM230" s="136"/>
      <c r="AN230" s="136"/>
      <c r="AO230" s="136">
        <v>300</v>
      </c>
    </row>
    <row r="231" spans="1:41" ht="50.25">
      <c r="A231" s="166">
        <v>3111</v>
      </c>
      <c r="B231" s="2">
        <v>60</v>
      </c>
      <c r="C231" s="2">
        <v>921</v>
      </c>
      <c r="D231" s="8">
        <v>70499</v>
      </c>
      <c r="E231" s="84" t="s">
        <v>285</v>
      </c>
      <c r="F231" s="10"/>
      <c r="G231" s="10">
        <v>1557</v>
      </c>
      <c r="H231" s="136"/>
      <c r="I231" s="136">
        <f>'USD 19-21'!J195*69.2</f>
        <v>10933.6</v>
      </c>
      <c r="J231" s="136"/>
      <c r="K231" s="136"/>
      <c r="L231" s="136"/>
      <c r="M231" s="136">
        <f>'USD 19-21'!L195*72.4</f>
        <v>0</v>
      </c>
      <c r="N231" s="140"/>
      <c r="O231" s="139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>
        <v>400</v>
      </c>
      <c r="Z231" s="136"/>
      <c r="AA231" s="136"/>
      <c r="AB231" s="136"/>
      <c r="AC231" s="136"/>
      <c r="AD231" s="136"/>
      <c r="AE231" s="136"/>
      <c r="AF231" s="136"/>
      <c r="AG231" s="136">
        <v>363.91</v>
      </c>
      <c r="AH231" s="136"/>
      <c r="AI231" s="136"/>
      <c r="AJ231" s="136"/>
      <c r="AK231" s="136"/>
      <c r="AL231" s="136"/>
      <c r="AM231" s="136"/>
      <c r="AN231" s="136"/>
      <c r="AO231" s="136">
        <v>400</v>
      </c>
    </row>
    <row r="232" spans="1:41" ht="16.5">
      <c r="A232" s="166">
        <v>3111</v>
      </c>
      <c r="B232" s="2">
        <v>60</v>
      </c>
      <c r="C232" s="2">
        <v>931</v>
      </c>
      <c r="D232" s="8">
        <v>70499</v>
      </c>
      <c r="E232" s="168" t="s">
        <v>284</v>
      </c>
      <c r="F232" s="10"/>
      <c r="G232" s="10">
        <v>796</v>
      </c>
      <c r="H232" s="136"/>
      <c r="I232" s="136">
        <f>'USD 19-21'!J196*69.2</f>
        <v>0</v>
      </c>
      <c r="J232" s="136"/>
      <c r="K232" s="136"/>
      <c r="L232" s="136"/>
      <c r="M232" s="136">
        <f>'USD 19-21'!L196*72.4</f>
        <v>0</v>
      </c>
      <c r="N232" s="140"/>
      <c r="O232" s="139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>
        <v>191.43</v>
      </c>
      <c r="Z232" s="136"/>
      <c r="AA232" s="136"/>
      <c r="AB232" s="136"/>
      <c r="AC232" s="136"/>
      <c r="AD232" s="136"/>
      <c r="AE232" s="136"/>
      <c r="AF232" s="136"/>
      <c r="AG232" s="136">
        <v>400</v>
      </c>
      <c r="AH232" s="136"/>
      <c r="AI232" s="136"/>
      <c r="AJ232" s="136"/>
      <c r="AK232" s="136"/>
      <c r="AL232" s="136"/>
      <c r="AM232" s="136"/>
      <c r="AN232" s="136"/>
      <c r="AO232" s="136">
        <v>400</v>
      </c>
    </row>
    <row r="233" spans="1:41" ht="16.5">
      <c r="A233" s="1">
        <v>3111</v>
      </c>
      <c r="B233" s="2">
        <v>60</v>
      </c>
      <c r="C233" s="2">
        <v>921</v>
      </c>
      <c r="D233" s="8">
        <v>70499</v>
      </c>
      <c r="E233" s="84" t="s">
        <v>283</v>
      </c>
      <c r="F233" s="10"/>
      <c r="G233" s="10">
        <v>1489.6</v>
      </c>
      <c r="H233" s="136"/>
      <c r="I233" s="136">
        <f>'USD 19-21'!J197*69.2</f>
        <v>98956</v>
      </c>
      <c r="J233" s="136"/>
      <c r="K233" s="136"/>
      <c r="L233" s="136"/>
      <c r="M233" s="136">
        <f>'USD 19-21'!L197*72.4</f>
        <v>55603.200000000004</v>
      </c>
      <c r="N233" s="140"/>
      <c r="O233" s="139"/>
      <c r="P233" s="136"/>
      <c r="Q233" s="136">
        <v>98.8</v>
      </c>
      <c r="R233" s="136"/>
      <c r="S233" s="136"/>
      <c r="T233" s="136"/>
      <c r="U233" s="136"/>
      <c r="V233" s="136"/>
      <c r="W233" s="136"/>
      <c r="X233" s="136"/>
      <c r="Y233" s="136">
        <v>538</v>
      </c>
      <c r="Z233" s="136"/>
      <c r="AA233" s="136"/>
      <c r="AB233" s="136"/>
      <c r="AC233" s="136"/>
      <c r="AD233" s="136"/>
      <c r="AE233" s="136"/>
      <c r="AF233" s="136"/>
      <c r="AG233" s="136">
        <v>474.2</v>
      </c>
      <c r="AH233" s="136"/>
      <c r="AI233" s="136"/>
      <c r="AJ233" s="136"/>
      <c r="AK233" s="136"/>
      <c r="AL233" s="136"/>
      <c r="AM233" s="136"/>
      <c r="AN233" s="136"/>
      <c r="AO233" s="136">
        <v>378.6</v>
      </c>
    </row>
    <row r="234" spans="1:41" ht="18" customHeight="1">
      <c r="A234" s="165">
        <v>3214</v>
      </c>
      <c r="B234" s="2">
        <v>60</v>
      </c>
      <c r="C234" s="2">
        <v>931</v>
      </c>
      <c r="D234" s="8">
        <v>70499</v>
      </c>
      <c r="E234" s="168" t="s">
        <v>282</v>
      </c>
      <c r="F234" s="10"/>
      <c r="G234" s="10">
        <v>728</v>
      </c>
      <c r="H234" s="136"/>
      <c r="I234" s="136">
        <f>'USD 19-21'!J198*69.2</f>
        <v>0</v>
      </c>
      <c r="J234" s="136"/>
      <c r="K234" s="136"/>
      <c r="L234" s="136"/>
      <c r="M234" s="136">
        <f>'USD 19-21'!L198*72.4</f>
        <v>11728.800000000001</v>
      </c>
      <c r="N234" s="140"/>
      <c r="O234" s="139"/>
      <c r="P234" s="136"/>
      <c r="Q234" s="136">
        <v>284.55</v>
      </c>
      <c r="R234" s="136"/>
      <c r="S234" s="136"/>
      <c r="T234" s="136"/>
      <c r="U234" s="136"/>
      <c r="V234" s="136"/>
      <c r="W234" s="136"/>
      <c r="X234" s="136"/>
      <c r="Y234" s="136">
        <v>147.81</v>
      </c>
      <c r="Z234" s="136"/>
      <c r="AA234" s="136"/>
      <c r="AB234" s="136"/>
      <c r="AC234" s="136"/>
      <c r="AD234" s="136"/>
      <c r="AE234" s="136"/>
      <c r="AF234" s="136"/>
      <c r="AG234" s="136">
        <v>147.82</v>
      </c>
      <c r="AH234" s="136"/>
      <c r="AI234" s="136"/>
      <c r="AJ234" s="136"/>
      <c r="AK234" s="136"/>
      <c r="AL234" s="136"/>
      <c r="AM234" s="136"/>
      <c r="AN234" s="136"/>
      <c r="AO234" s="136">
        <f>I234-Q234-Y234-AG234</f>
        <v>-580.1800000000001</v>
      </c>
    </row>
    <row r="235" spans="1:41" ht="33">
      <c r="A235" s="1">
        <v>3111</v>
      </c>
      <c r="B235" s="2">
        <v>60</v>
      </c>
      <c r="C235" s="2">
        <v>921</v>
      </c>
      <c r="D235" s="8">
        <v>70499</v>
      </c>
      <c r="E235" s="84" t="s">
        <v>185</v>
      </c>
      <c r="F235" s="10"/>
      <c r="G235" s="10">
        <v>1500</v>
      </c>
      <c r="H235" s="136"/>
      <c r="I235" s="136">
        <f>'USD 19-21'!J199*69.2</f>
        <v>35984</v>
      </c>
      <c r="J235" s="136"/>
      <c r="K235" s="136"/>
      <c r="L235" s="136"/>
      <c r="M235" s="136"/>
      <c r="N235" s="137"/>
      <c r="O235" s="136"/>
      <c r="P235" s="136"/>
      <c r="Q235" s="136">
        <v>200</v>
      </c>
      <c r="R235" s="136"/>
      <c r="S235" s="136"/>
      <c r="T235" s="136"/>
      <c r="U235" s="136"/>
      <c r="V235" s="136"/>
      <c r="W235" s="136"/>
      <c r="X235" s="136"/>
      <c r="Y235" s="136">
        <v>400</v>
      </c>
      <c r="Z235" s="136"/>
      <c r="AA235" s="136"/>
      <c r="AB235" s="136"/>
      <c r="AC235" s="136"/>
      <c r="AD235" s="136"/>
      <c r="AE235" s="136"/>
      <c r="AF235" s="136"/>
      <c r="AG235" s="136">
        <v>450</v>
      </c>
      <c r="AH235" s="136"/>
      <c r="AI235" s="136"/>
      <c r="AJ235" s="136"/>
      <c r="AK235" s="136"/>
      <c r="AL235" s="136"/>
      <c r="AM235" s="136"/>
      <c r="AN235" s="136"/>
      <c r="AO235" s="136">
        <v>450</v>
      </c>
    </row>
    <row r="236" spans="1:41" ht="33">
      <c r="A236" s="165">
        <v>3214</v>
      </c>
      <c r="B236" s="2">
        <v>60</v>
      </c>
      <c r="C236" s="2">
        <v>931</v>
      </c>
      <c r="D236" s="8">
        <v>70499</v>
      </c>
      <c r="E236" s="168" t="s">
        <v>186</v>
      </c>
      <c r="F236" s="10"/>
      <c r="G236" s="10">
        <v>1500</v>
      </c>
      <c r="H236" s="136"/>
      <c r="I236" s="136">
        <f>'USD 19-21'!J200*69.2</f>
        <v>18268.8</v>
      </c>
      <c r="J236" s="136"/>
      <c r="K236" s="136"/>
      <c r="L236" s="136"/>
      <c r="M236" s="136"/>
      <c r="N236" s="137"/>
      <c r="O236" s="136"/>
      <c r="P236" s="136"/>
      <c r="Q236" s="136">
        <v>200</v>
      </c>
      <c r="R236" s="136"/>
      <c r="S236" s="136"/>
      <c r="T236" s="136"/>
      <c r="U236" s="136"/>
      <c r="V236" s="136"/>
      <c r="W236" s="136"/>
      <c r="X236" s="136"/>
      <c r="Y236" s="136">
        <v>400</v>
      </c>
      <c r="Z236" s="136"/>
      <c r="AA236" s="136"/>
      <c r="AB236" s="136"/>
      <c r="AC236" s="136"/>
      <c r="AD236" s="136"/>
      <c r="AE236" s="136"/>
      <c r="AF236" s="136"/>
      <c r="AG236" s="136">
        <v>450</v>
      </c>
      <c r="AH236" s="136"/>
      <c r="AI236" s="136"/>
      <c r="AJ236" s="136"/>
      <c r="AK236" s="136"/>
      <c r="AL236" s="136"/>
      <c r="AM236" s="136"/>
      <c r="AN236" s="136"/>
      <c r="AO236" s="136">
        <v>450</v>
      </c>
    </row>
    <row r="237" spans="1:41" ht="33">
      <c r="A237" s="166">
        <v>3111</v>
      </c>
      <c r="B237" s="2">
        <v>60</v>
      </c>
      <c r="C237" s="2">
        <v>921</v>
      </c>
      <c r="D237" s="8">
        <v>70499</v>
      </c>
      <c r="E237" s="84" t="s">
        <v>187</v>
      </c>
      <c r="F237" s="10"/>
      <c r="G237" s="10">
        <v>1500</v>
      </c>
      <c r="H237" s="136"/>
      <c r="I237" s="136">
        <f>'USD 19-21'!J198*69.2</f>
        <v>0</v>
      </c>
      <c r="J237" s="136"/>
      <c r="K237" s="136"/>
      <c r="L237" s="136"/>
      <c r="M237" s="136">
        <f>'USD 19-21'!L198*72.4</f>
        <v>11728.800000000001</v>
      </c>
      <c r="N237" s="137"/>
      <c r="O237" s="136"/>
      <c r="P237" s="141"/>
      <c r="Q237" s="141"/>
      <c r="R237" s="141"/>
      <c r="S237" s="141"/>
      <c r="T237" s="141"/>
      <c r="U237" s="141"/>
      <c r="V237" s="141"/>
      <c r="W237" s="141"/>
      <c r="X237" s="141"/>
      <c r="Y237" s="136">
        <v>300</v>
      </c>
      <c r="Z237" s="141"/>
      <c r="AA237" s="141"/>
      <c r="AB237" s="141"/>
      <c r="AC237" s="141"/>
      <c r="AD237" s="141"/>
      <c r="AE237" s="141"/>
      <c r="AF237" s="141"/>
      <c r="AG237" s="136">
        <v>600</v>
      </c>
      <c r="AH237" s="141"/>
      <c r="AI237" s="141"/>
      <c r="AJ237" s="141"/>
      <c r="AK237" s="141"/>
      <c r="AL237" s="141"/>
      <c r="AM237" s="141"/>
      <c r="AN237" s="141"/>
      <c r="AO237" s="136">
        <v>600</v>
      </c>
    </row>
    <row r="238" spans="1:41" ht="33">
      <c r="A238" s="165">
        <v>3214</v>
      </c>
      <c r="B238" s="2">
        <v>60</v>
      </c>
      <c r="C238" s="2">
        <v>931</v>
      </c>
      <c r="D238" s="8">
        <v>70499</v>
      </c>
      <c r="E238" s="168" t="s">
        <v>188</v>
      </c>
      <c r="F238" s="10"/>
      <c r="G238" s="10">
        <v>1500</v>
      </c>
      <c r="H238" s="136"/>
      <c r="I238" s="136">
        <f>'USD 19-21'!J202*69.2</f>
        <v>68231.2</v>
      </c>
      <c r="J238" s="136"/>
      <c r="K238" s="136"/>
      <c r="L238" s="136"/>
      <c r="M238" s="136">
        <f>'USD 19-21'!L202*72.4</f>
        <v>12597.6</v>
      </c>
      <c r="N238" s="137"/>
      <c r="O238" s="136"/>
      <c r="P238" s="141"/>
      <c r="Q238" s="141"/>
      <c r="R238" s="141"/>
      <c r="S238" s="141"/>
      <c r="T238" s="141"/>
      <c r="U238" s="141"/>
      <c r="V238" s="141"/>
      <c r="W238" s="141"/>
      <c r="X238" s="141"/>
      <c r="Y238" s="136">
        <v>300</v>
      </c>
      <c r="Z238" s="141"/>
      <c r="AA238" s="141"/>
      <c r="AB238" s="141"/>
      <c r="AC238" s="141"/>
      <c r="AD238" s="141"/>
      <c r="AE238" s="141"/>
      <c r="AF238" s="141"/>
      <c r="AG238" s="136">
        <v>600</v>
      </c>
      <c r="AH238" s="141"/>
      <c r="AI238" s="141"/>
      <c r="AJ238" s="141"/>
      <c r="AK238" s="141"/>
      <c r="AL238" s="141"/>
      <c r="AM238" s="141"/>
      <c r="AN238" s="141"/>
      <c r="AO238" s="136">
        <v>600</v>
      </c>
    </row>
    <row r="239" spans="1:41" ht="33">
      <c r="A239" s="166">
        <v>3111</v>
      </c>
      <c r="B239" s="2">
        <v>60</v>
      </c>
      <c r="C239" s="2">
        <v>921</v>
      </c>
      <c r="D239" s="8">
        <v>70499</v>
      </c>
      <c r="E239" s="84" t="s">
        <v>189</v>
      </c>
      <c r="F239" s="10"/>
      <c r="G239" s="10">
        <v>1500</v>
      </c>
      <c r="H239" s="136"/>
      <c r="I239" s="136">
        <f>'USD 19-21'!J203*69.2</f>
        <v>120407.99999999999</v>
      </c>
      <c r="J239" s="136"/>
      <c r="K239" s="136"/>
      <c r="L239" s="136"/>
      <c r="M239" s="136"/>
      <c r="N239" s="137"/>
      <c r="O239" s="136"/>
      <c r="P239" s="141"/>
      <c r="Q239" s="141"/>
      <c r="R239" s="141"/>
      <c r="S239" s="141"/>
      <c r="T239" s="141"/>
      <c r="U239" s="141"/>
      <c r="V239" s="141"/>
      <c r="W239" s="141"/>
      <c r="X239" s="141"/>
      <c r="Y239" s="136">
        <v>300</v>
      </c>
      <c r="Z239" s="141"/>
      <c r="AA239" s="141"/>
      <c r="AB239" s="141"/>
      <c r="AC239" s="141"/>
      <c r="AD239" s="141"/>
      <c r="AE239" s="141"/>
      <c r="AF239" s="141"/>
      <c r="AG239" s="136">
        <v>600</v>
      </c>
      <c r="AH239" s="141"/>
      <c r="AI239" s="141"/>
      <c r="AJ239" s="141"/>
      <c r="AK239" s="141"/>
      <c r="AL239" s="141"/>
      <c r="AM239" s="141"/>
      <c r="AN239" s="141"/>
      <c r="AO239" s="136">
        <v>600</v>
      </c>
    </row>
    <row r="240" spans="1:41" ht="33">
      <c r="A240" s="165">
        <v>3214</v>
      </c>
      <c r="B240" s="2">
        <v>60</v>
      </c>
      <c r="C240" s="2">
        <v>931</v>
      </c>
      <c r="D240" s="8">
        <v>70499</v>
      </c>
      <c r="E240" s="168" t="s">
        <v>190</v>
      </c>
      <c r="F240" s="10"/>
      <c r="G240" s="10">
        <v>1500</v>
      </c>
      <c r="H240" s="136"/>
      <c r="I240" s="136"/>
      <c r="J240" s="136"/>
      <c r="K240" s="136"/>
      <c r="L240" s="136"/>
      <c r="M240" s="136"/>
      <c r="N240" s="137"/>
      <c r="O240" s="136"/>
      <c r="P240" s="136"/>
      <c r="Q240" s="136"/>
      <c r="R240" s="136"/>
      <c r="S240" s="136"/>
      <c r="T240" s="136"/>
      <c r="U240" s="136"/>
      <c r="V240" s="136"/>
      <c r="W240" s="136"/>
      <c r="X240" s="136"/>
      <c r="Y240" s="136">
        <v>300</v>
      </c>
      <c r="Z240" s="141"/>
      <c r="AA240" s="141"/>
      <c r="AB240" s="141"/>
      <c r="AC240" s="141"/>
      <c r="AD240" s="141"/>
      <c r="AE240" s="141"/>
      <c r="AF240" s="141"/>
      <c r="AG240" s="136">
        <v>600</v>
      </c>
      <c r="AH240" s="141"/>
      <c r="AI240" s="141"/>
      <c r="AJ240" s="141"/>
      <c r="AK240" s="141"/>
      <c r="AL240" s="141"/>
      <c r="AM240" s="141"/>
      <c r="AN240" s="141"/>
      <c r="AO240" s="136">
        <v>600</v>
      </c>
    </row>
    <row r="241" spans="1:41" ht="33">
      <c r="A241" s="166">
        <v>3111</v>
      </c>
      <c r="B241" s="36">
        <v>60</v>
      </c>
      <c r="C241" s="36">
        <v>921</v>
      </c>
      <c r="D241" s="45">
        <v>70499</v>
      </c>
      <c r="E241" s="84" t="s">
        <v>248</v>
      </c>
      <c r="F241" s="10"/>
      <c r="G241" s="10"/>
      <c r="H241" s="136"/>
      <c r="I241" s="136" t="e">
        <f>'USD 19-21'!#REF!*69.2</f>
        <v>#REF!</v>
      </c>
      <c r="J241" s="136"/>
      <c r="K241" s="136"/>
      <c r="L241" s="136"/>
      <c r="M241" s="136" t="e">
        <f>'USD 19-21'!#REF!*72.4</f>
        <v>#REF!</v>
      </c>
      <c r="N241" s="137"/>
      <c r="O241" s="136"/>
      <c r="P241" s="136"/>
      <c r="Q241" s="136"/>
      <c r="R241" s="136"/>
      <c r="S241" s="136"/>
      <c r="T241" s="136"/>
      <c r="U241" s="136"/>
      <c r="V241" s="136"/>
      <c r="W241" s="136"/>
      <c r="X241" s="136"/>
      <c r="Y241" s="136"/>
      <c r="Z241" s="141"/>
      <c r="AA241" s="141"/>
      <c r="AB241" s="141"/>
      <c r="AC241" s="141"/>
      <c r="AD241" s="141"/>
      <c r="AE241" s="141"/>
      <c r="AF241" s="141"/>
      <c r="AG241" s="136"/>
      <c r="AH241" s="141"/>
      <c r="AI241" s="141"/>
      <c r="AJ241" s="141"/>
      <c r="AK241" s="141"/>
      <c r="AL241" s="141"/>
      <c r="AM241" s="141"/>
      <c r="AN241" s="141"/>
      <c r="AO241" s="136"/>
    </row>
    <row r="242" spans="1:41" ht="33">
      <c r="A242" s="165">
        <v>3214</v>
      </c>
      <c r="B242" s="36">
        <v>60</v>
      </c>
      <c r="C242" s="36">
        <v>931</v>
      </c>
      <c r="D242" s="45">
        <v>70499</v>
      </c>
      <c r="E242" s="168" t="s">
        <v>249</v>
      </c>
      <c r="F242" s="10"/>
      <c r="G242" s="10"/>
      <c r="H242" s="136"/>
      <c r="I242" s="136" t="e">
        <f>'USD 19-21'!#REF!*69.2</f>
        <v>#REF!</v>
      </c>
      <c r="J242" s="136"/>
      <c r="K242" s="136"/>
      <c r="L242" s="136"/>
      <c r="M242" s="136" t="e">
        <f>'USD 19-21'!#REF!*72.4</f>
        <v>#REF!</v>
      </c>
      <c r="N242" s="137"/>
      <c r="O242" s="136"/>
      <c r="P242" s="136"/>
      <c r="Q242" s="136"/>
      <c r="R242" s="136"/>
      <c r="S242" s="136"/>
      <c r="T242" s="136"/>
      <c r="U242" s="136"/>
      <c r="V242" s="136"/>
      <c r="W242" s="136"/>
      <c r="X242" s="136"/>
      <c r="Y242" s="136"/>
      <c r="Z242" s="141"/>
      <c r="AA242" s="141"/>
      <c r="AB242" s="141"/>
      <c r="AC242" s="141"/>
      <c r="AD242" s="141"/>
      <c r="AE242" s="141"/>
      <c r="AF242" s="141"/>
      <c r="AG242" s="136"/>
      <c r="AH242" s="141"/>
      <c r="AI242" s="141"/>
      <c r="AJ242" s="141"/>
      <c r="AK242" s="141"/>
      <c r="AL242" s="141"/>
      <c r="AM242" s="141"/>
      <c r="AN242" s="141"/>
      <c r="AO242" s="136"/>
    </row>
    <row r="243" spans="1:41" ht="33">
      <c r="A243" s="1">
        <v>3111</v>
      </c>
      <c r="B243" s="36">
        <v>60</v>
      </c>
      <c r="C243" s="36">
        <v>921</v>
      </c>
      <c r="D243" s="45">
        <v>70499</v>
      </c>
      <c r="E243" s="84" t="s">
        <v>250</v>
      </c>
      <c r="F243" s="10"/>
      <c r="G243" s="10"/>
      <c r="H243" s="136"/>
      <c r="I243" s="136" t="e">
        <f>'USD 19-21'!#REF!*69.2</f>
        <v>#REF!</v>
      </c>
      <c r="J243" s="136"/>
      <c r="K243" s="136"/>
      <c r="L243" s="136"/>
      <c r="M243" s="136" t="e">
        <f>'USD 19-21'!#REF!*72.4</f>
        <v>#REF!</v>
      </c>
      <c r="N243" s="137"/>
      <c r="O243" s="136"/>
      <c r="P243" s="136"/>
      <c r="Q243" s="136"/>
      <c r="R243" s="136"/>
      <c r="S243" s="136"/>
      <c r="T243" s="136"/>
      <c r="U243" s="136"/>
      <c r="V243" s="136"/>
      <c r="W243" s="136"/>
      <c r="X243" s="136"/>
      <c r="Y243" s="136"/>
      <c r="Z243" s="141"/>
      <c r="AA243" s="141"/>
      <c r="AB243" s="141"/>
      <c r="AC243" s="141"/>
      <c r="AD243" s="141"/>
      <c r="AE243" s="141"/>
      <c r="AF243" s="141"/>
      <c r="AG243" s="136"/>
      <c r="AH243" s="141"/>
      <c r="AI243" s="141"/>
      <c r="AJ243" s="141"/>
      <c r="AK243" s="141"/>
      <c r="AL243" s="141"/>
      <c r="AM243" s="141"/>
      <c r="AN243" s="141"/>
      <c r="AO243" s="136"/>
    </row>
    <row r="244" spans="1:41" ht="33">
      <c r="A244" s="165">
        <v>3214</v>
      </c>
      <c r="B244" s="36">
        <v>60</v>
      </c>
      <c r="C244" s="36">
        <v>931</v>
      </c>
      <c r="D244" s="45">
        <v>70499</v>
      </c>
      <c r="E244" s="168" t="s">
        <v>251</v>
      </c>
      <c r="F244" s="10"/>
      <c r="G244" s="10"/>
      <c r="H244" s="136"/>
      <c r="I244" s="136" t="e">
        <f>'USD 19-21'!#REF!*69.2</f>
        <v>#REF!</v>
      </c>
      <c r="J244" s="136"/>
      <c r="K244" s="136"/>
      <c r="L244" s="136"/>
      <c r="M244" s="136" t="e">
        <f>'USD 19-21'!#REF!*72.4</f>
        <v>#REF!</v>
      </c>
      <c r="N244" s="137"/>
      <c r="O244" s="136"/>
      <c r="P244" s="136"/>
      <c r="Q244" s="136"/>
      <c r="R244" s="136"/>
      <c r="S244" s="136"/>
      <c r="T244" s="136"/>
      <c r="U244" s="136"/>
      <c r="V244" s="136"/>
      <c r="W244" s="136"/>
      <c r="X244" s="136"/>
      <c r="Y244" s="136"/>
      <c r="Z244" s="141"/>
      <c r="AA244" s="141"/>
      <c r="AB244" s="141"/>
      <c r="AC244" s="141"/>
      <c r="AD244" s="141"/>
      <c r="AE244" s="141"/>
      <c r="AF244" s="141"/>
      <c r="AG244" s="136"/>
      <c r="AH244" s="141"/>
      <c r="AI244" s="141"/>
      <c r="AJ244" s="141"/>
      <c r="AK244" s="141"/>
      <c r="AL244" s="141"/>
      <c r="AM244" s="141"/>
      <c r="AN244" s="141"/>
      <c r="AO244" s="136"/>
    </row>
    <row r="245" spans="1:41" ht="33">
      <c r="A245" s="1">
        <v>3111</v>
      </c>
      <c r="B245" s="36">
        <v>60</v>
      </c>
      <c r="C245" s="36">
        <v>921</v>
      </c>
      <c r="D245" s="45">
        <v>70499</v>
      </c>
      <c r="E245" s="84" t="s">
        <v>252</v>
      </c>
      <c r="F245" s="10"/>
      <c r="G245" s="10"/>
      <c r="H245" s="136"/>
      <c r="I245" s="136" t="e">
        <f>'USD 19-21'!#REF!*69.2</f>
        <v>#REF!</v>
      </c>
      <c r="J245" s="136"/>
      <c r="K245" s="136"/>
      <c r="L245" s="136"/>
      <c r="M245" s="136" t="e">
        <f>'USD 19-21'!#REF!*72.4</f>
        <v>#REF!</v>
      </c>
      <c r="N245" s="137"/>
      <c r="O245" s="136" t="e">
        <f>'USD 19-21'!#REF!*69.2</f>
        <v>#REF!</v>
      </c>
      <c r="P245" s="136"/>
      <c r="Q245" s="136"/>
      <c r="R245" s="136"/>
      <c r="S245" s="136"/>
      <c r="T245" s="136"/>
      <c r="U245" s="136"/>
      <c r="V245" s="136"/>
      <c r="W245" s="136"/>
      <c r="X245" s="136"/>
      <c r="Y245" s="136"/>
      <c r="Z245" s="141"/>
      <c r="AA245" s="141"/>
      <c r="AB245" s="141"/>
      <c r="AC245" s="141"/>
      <c r="AD245" s="141"/>
      <c r="AE245" s="141"/>
      <c r="AF245" s="141"/>
      <c r="AG245" s="136"/>
      <c r="AH245" s="141"/>
      <c r="AI245" s="141"/>
      <c r="AJ245" s="141"/>
      <c r="AK245" s="141"/>
      <c r="AL245" s="141"/>
      <c r="AM245" s="141"/>
      <c r="AN245" s="141"/>
      <c r="AO245" s="136"/>
    </row>
    <row r="246" spans="1:41" ht="33">
      <c r="A246" s="165">
        <v>3214</v>
      </c>
      <c r="B246" s="36">
        <v>60</v>
      </c>
      <c r="C246" s="36">
        <v>931</v>
      </c>
      <c r="D246" s="45">
        <v>70499</v>
      </c>
      <c r="E246" s="168" t="s">
        <v>253</v>
      </c>
      <c r="F246" s="10"/>
      <c r="G246" s="10"/>
      <c r="H246" s="136"/>
      <c r="I246" s="136" t="e">
        <f>'USD 19-21'!#REF!*69.2</f>
        <v>#REF!</v>
      </c>
      <c r="J246" s="136"/>
      <c r="K246" s="136"/>
      <c r="L246" s="136"/>
      <c r="M246" s="136" t="e">
        <f>'USD 19-21'!#REF!*72.4</f>
        <v>#REF!</v>
      </c>
      <c r="N246" s="137"/>
      <c r="O246" s="136" t="e">
        <f>'USD 19-21'!#REF!*69.2</f>
        <v>#REF!</v>
      </c>
      <c r="P246" s="136"/>
      <c r="Q246" s="136"/>
      <c r="R246" s="136"/>
      <c r="S246" s="136"/>
      <c r="T246" s="136"/>
      <c r="U246" s="136"/>
      <c r="V246" s="136"/>
      <c r="W246" s="136"/>
      <c r="X246" s="136"/>
      <c r="Y246" s="136"/>
      <c r="Z246" s="141"/>
      <c r="AA246" s="141"/>
      <c r="AB246" s="141"/>
      <c r="AC246" s="141"/>
      <c r="AD246" s="141"/>
      <c r="AE246" s="141"/>
      <c r="AF246" s="141"/>
      <c r="AG246" s="136"/>
      <c r="AH246" s="141"/>
      <c r="AI246" s="141"/>
      <c r="AJ246" s="141"/>
      <c r="AK246" s="141"/>
      <c r="AL246" s="141"/>
      <c r="AM246" s="141"/>
      <c r="AN246" s="141"/>
      <c r="AO246" s="136"/>
    </row>
    <row r="247" spans="1:41" ht="33">
      <c r="A247" s="88">
        <v>3111</v>
      </c>
      <c r="B247" s="89">
        <v>60</v>
      </c>
      <c r="C247" s="89">
        <v>921</v>
      </c>
      <c r="D247" s="90">
        <v>70499</v>
      </c>
      <c r="E247" s="84" t="s">
        <v>254</v>
      </c>
      <c r="F247" s="10"/>
      <c r="G247" s="10"/>
      <c r="H247" s="136"/>
      <c r="I247" s="136" t="e">
        <f>'USD 19-21'!#REF!*69.2</f>
        <v>#REF!</v>
      </c>
      <c r="J247" s="136"/>
      <c r="K247" s="136"/>
      <c r="L247" s="136"/>
      <c r="M247" s="136" t="e">
        <f>'USD 19-21'!#REF!*72.4</f>
        <v>#REF!</v>
      </c>
      <c r="N247" s="137"/>
      <c r="O247" s="136" t="e">
        <f>'USD 19-21'!#REF!*69.2</f>
        <v>#REF!</v>
      </c>
      <c r="P247" s="136"/>
      <c r="Q247" s="136"/>
      <c r="R247" s="136"/>
      <c r="S247" s="136"/>
      <c r="T247" s="136"/>
      <c r="U247" s="136"/>
      <c r="V247" s="136"/>
      <c r="W247" s="136"/>
      <c r="X247" s="136"/>
      <c r="Y247" s="136"/>
      <c r="Z247" s="141"/>
      <c r="AA247" s="141"/>
      <c r="AB247" s="141"/>
      <c r="AC247" s="141"/>
      <c r="AD247" s="141"/>
      <c r="AE247" s="141"/>
      <c r="AF247" s="141"/>
      <c r="AG247" s="136"/>
      <c r="AH247" s="141"/>
      <c r="AI247" s="141"/>
      <c r="AJ247" s="141"/>
      <c r="AK247" s="141"/>
      <c r="AL247" s="141"/>
      <c r="AM247" s="141"/>
      <c r="AN247" s="141"/>
      <c r="AO247" s="136"/>
    </row>
    <row r="248" spans="1:41" ht="33">
      <c r="A248" s="165">
        <v>3214</v>
      </c>
      <c r="B248" s="36">
        <v>60</v>
      </c>
      <c r="C248" s="36">
        <v>931</v>
      </c>
      <c r="D248" s="45">
        <v>70499</v>
      </c>
      <c r="E248" s="168" t="s">
        <v>255</v>
      </c>
      <c r="F248" s="10"/>
      <c r="G248" s="10"/>
      <c r="H248" s="136"/>
      <c r="I248" s="136" t="e">
        <f>'USD 19-21'!#REF!*69.2</f>
        <v>#REF!</v>
      </c>
      <c r="J248" s="136"/>
      <c r="K248" s="136"/>
      <c r="L248" s="136"/>
      <c r="M248" s="136" t="e">
        <f>'USD 19-21'!#REF!*72.4</f>
        <v>#REF!</v>
      </c>
      <c r="N248" s="137"/>
      <c r="O248" s="136" t="e">
        <f>'USD 19-21'!#REF!*69.2</f>
        <v>#REF!</v>
      </c>
      <c r="P248" s="136"/>
      <c r="Q248" s="136"/>
      <c r="R248" s="136"/>
      <c r="S248" s="136"/>
      <c r="T248" s="136"/>
      <c r="U248" s="136"/>
      <c r="V248" s="136"/>
      <c r="W248" s="136"/>
      <c r="X248" s="136"/>
      <c r="Y248" s="136"/>
      <c r="Z248" s="141"/>
      <c r="AA248" s="141"/>
      <c r="AB248" s="141"/>
      <c r="AC248" s="141"/>
      <c r="AD248" s="141"/>
      <c r="AE248" s="141"/>
      <c r="AF248" s="141"/>
      <c r="AG248" s="136"/>
      <c r="AH248" s="141"/>
      <c r="AI248" s="141"/>
      <c r="AJ248" s="141"/>
      <c r="AK248" s="141"/>
      <c r="AL248" s="141"/>
      <c r="AM248" s="141"/>
      <c r="AN248" s="141"/>
      <c r="AO248" s="136"/>
    </row>
    <row r="249" spans="1:41" ht="33">
      <c r="A249" s="1">
        <v>3111</v>
      </c>
      <c r="B249" s="36">
        <v>60</v>
      </c>
      <c r="C249" s="36">
        <v>921</v>
      </c>
      <c r="D249" s="45">
        <v>70499</v>
      </c>
      <c r="E249" s="20" t="s">
        <v>258</v>
      </c>
      <c r="F249" s="10"/>
      <c r="G249" s="10"/>
      <c r="H249" s="136"/>
      <c r="I249" s="136"/>
      <c r="J249" s="136"/>
      <c r="K249" s="136"/>
      <c r="L249" s="136"/>
      <c r="M249" s="136"/>
      <c r="N249" s="137"/>
      <c r="O249" s="136"/>
      <c r="P249" s="136"/>
      <c r="Q249" s="136"/>
      <c r="R249" s="136"/>
      <c r="S249" s="136"/>
      <c r="T249" s="136"/>
      <c r="U249" s="136"/>
      <c r="V249" s="136"/>
      <c r="W249" s="136"/>
      <c r="X249" s="136"/>
      <c r="Y249" s="136"/>
      <c r="Z249" s="141"/>
      <c r="AA249" s="141"/>
      <c r="AB249" s="141"/>
      <c r="AC249" s="141"/>
      <c r="AD249" s="141"/>
      <c r="AE249" s="141"/>
      <c r="AF249" s="141"/>
      <c r="AG249" s="136"/>
      <c r="AH249" s="141"/>
      <c r="AI249" s="141"/>
      <c r="AJ249" s="141"/>
      <c r="AK249" s="141"/>
      <c r="AL249" s="141"/>
      <c r="AM249" s="141"/>
      <c r="AN249" s="141"/>
      <c r="AO249" s="136"/>
    </row>
    <row r="250" spans="1:41" ht="33">
      <c r="A250" s="165">
        <v>3214</v>
      </c>
      <c r="B250" s="36">
        <v>60</v>
      </c>
      <c r="C250" s="36">
        <v>931</v>
      </c>
      <c r="D250" s="45">
        <v>70499</v>
      </c>
      <c r="E250" s="20" t="s">
        <v>259</v>
      </c>
      <c r="F250" s="10"/>
      <c r="G250" s="10"/>
      <c r="H250" s="136"/>
      <c r="I250" s="136"/>
      <c r="J250" s="136"/>
      <c r="K250" s="136"/>
      <c r="L250" s="136"/>
      <c r="M250" s="136"/>
      <c r="N250" s="137"/>
      <c r="O250" s="136"/>
      <c r="P250" s="136"/>
      <c r="Q250" s="136"/>
      <c r="R250" s="136"/>
      <c r="S250" s="136"/>
      <c r="T250" s="136"/>
      <c r="U250" s="136"/>
      <c r="V250" s="136"/>
      <c r="W250" s="136"/>
      <c r="X250" s="136"/>
      <c r="Y250" s="136"/>
      <c r="Z250" s="141"/>
      <c r="AA250" s="141"/>
      <c r="AB250" s="141"/>
      <c r="AC250" s="141"/>
      <c r="AD250" s="141"/>
      <c r="AE250" s="141"/>
      <c r="AF250" s="141"/>
      <c r="AG250" s="136"/>
      <c r="AH250" s="141"/>
      <c r="AI250" s="141"/>
      <c r="AJ250" s="141"/>
      <c r="AK250" s="141"/>
      <c r="AL250" s="141"/>
      <c r="AM250" s="141"/>
      <c r="AN250" s="141"/>
      <c r="AO250" s="136"/>
    </row>
    <row r="251" spans="1:41" ht="33">
      <c r="A251" s="1">
        <v>3111</v>
      </c>
      <c r="B251" s="36">
        <v>60</v>
      </c>
      <c r="C251" s="36">
        <v>921</v>
      </c>
      <c r="D251" s="45">
        <v>70499</v>
      </c>
      <c r="E251" s="84" t="s">
        <v>256</v>
      </c>
      <c r="F251" s="10"/>
      <c r="G251" s="10"/>
      <c r="H251" s="136"/>
      <c r="I251" s="136" t="e">
        <f>'USD 19-21'!#REF!*69.2</f>
        <v>#REF!</v>
      </c>
      <c r="J251" s="136"/>
      <c r="K251" s="136"/>
      <c r="L251" s="136"/>
      <c r="M251" s="136" t="e">
        <f>'USD 19-21'!#REF!*72.4</f>
        <v>#REF!</v>
      </c>
      <c r="N251" s="137"/>
      <c r="O251" s="136" t="e">
        <f>'USD 19-21'!#REF!*69.2</f>
        <v>#REF!</v>
      </c>
      <c r="P251" s="136"/>
      <c r="Q251" s="136"/>
      <c r="R251" s="136"/>
      <c r="S251" s="136"/>
      <c r="T251" s="136"/>
      <c r="U251" s="136"/>
      <c r="V251" s="136"/>
      <c r="W251" s="136"/>
      <c r="X251" s="136"/>
      <c r="Y251" s="136"/>
      <c r="Z251" s="141"/>
      <c r="AA251" s="141"/>
      <c r="AB251" s="141"/>
      <c r="AC251" s="141"/>
      <c r="AD251" s="141"/>
      <c r="AE251" s="141"/>
      <c r="AF251" s="141"/>
      <c r="AG251" s="136"/>
      <c r="AH251" s="141"/>
      <c r="AI251" s="141"/>
      <c r="AJ251" s="141"/>
      <c r="AK251" s="141"/>
      <c r="AL251" s="141"/>
      <c r="AM251" s="141"/>
      <c r="AN251" s="141"/>
      <c r="AO251" s="136"/>
    </row>
    <row r="252" spans="1:41" ht="33">
      <c r="A252" s="165">
        <v>3214</v>
      </c>
      <c r="B252" s="36">
        <v>60</v>
      </c>
      <c r="C252" s="36">
        <v>931</v>
      </c>
      <c r="D252" s="45">
        <v>70499</v>
      </c>
      <c r="E252" s="20" t="s">
        <v>257</v>
      </c>
      <c r="F252" s="10"/>
      <c r="G252" s="10"/>
      <c r="H252" s="136"/>
      <c r="I252" s="136" t="e">
        <f>'USD 19-21'!#REF!*69.2</f>
        <v>#REF!</v>
      </c>
      <c r="J252" s="136"/>
      <c r="K252" s="136"/>
      <c r="L252" s="136"/>
      <c r="M252" s="136" t="e">
        <f>'USD 19-21'!#REF!*72.4</f>
        <v>#REF!</v>
      </c>
      <c r="N252" s="137"/>
      <c r="O252" s="136" t="e">
        <f>'USD 19-21'!#REF!*69.2</f>
        <v>#REF!</v>
      </c>
      <c r="P252" s="136"/>
      <c r="Q252" s="136"/>
      <c r="R252" s="136"/>
      <c r="S252" s="136"/>
      <c r="T252" s="136"/>
      <c r="U252" s="136"/>
      <c r="V252" s="136"/>
      <c r="W252" s="136"/>
      <c r="X252" s="136"/>
      <c r="Y252" s="136"/>
      <c r="Z252" s="141"/>
      <c r="AA252" s="141"/>
      <c r="AB252" s="141"/>
      <c r="AC252" s="141"/>
      <c r="AD252" s="141"/>
      <c r="AE252" s="141"/>
      <c r="AF252" s="141"/>
      <c r="AG252" s="136"/>
      <c r="AH252" s="141"/>
      <c r="AI252" s="141"/>
      <c r="AJ252" s="141"/>
      <c r="AK252" s="141"/>
      <c r="AL252" s="141"/>
      <c r="AM252" s="141"/>
      <c r="AN252" s="141"/>
      <c r="AO252" s="136"/>
    </row>
    <row r="253" spans="2:41" ht="18" customHeight="1" hidden="1">
      <c r="B253" s="36"/>
      <c r="C253" s="36"/>
      <c r="D253" s="40"/>
      <c r="E253" s="20"/>
      <c r="F253" s="10"/>
      <c r="G253" s="10"/>
      <c r="H253" s="136"/>
      <c r="I253" s="136"/>
      <c r="J253" s="136">
        <f>H253-F253</f>
        <v>0</v>
      </c>
      <c r="K253" s="136">
        <f>I253-G253</f>
        <v>0</v>
      </c>
      <c r="L253" s="146"/>
      <c r="M253" s="136"/>
      <c r="N253" s="140"/>
      <c r="O253" s="139"/>
      <c r="P253" s="141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  <c r="AJ253" s="141"/>
      <c r="AK253" s="141"/>
      <c r="AL253" s="141"/>
      <c r="AM253" s="141"/>
      <c r="AN253" s="141"/>
      <c r="AO253" s="141"/>
    </row>
    <row r="254" spans="2:41" ht="18" customHeight="1" hidden="1">
      <c r="B254" s="36"/>
      <c r="C254" s="36"/>
      <c r="D254" s="40"/>
      <c r="E254" s="78"/>
      <c r="F254" s="93"/>
      <c r="G254" s="93"/>
      <c r="H254" s="138"/>
      <c r="I254" s="138"/>
      <c r="J254" s="136"/>
      <c r="K254" s="136"/>
      <c r="L254" s="138"/>
      <c r="M254" s="138"/>
      <c r="N254" s="143"/>
      <c r="O254" s="138"/>
      <c r="P254" s="141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  <c r="AJ254" s="141"/>
      <c r="AK254" s="141"/>
      <c r="AL254" s="141"/>
      <c r="AM254" s="141"/>
      <c r="AN254" s="141"/>
      <c r="AO254" s="141"/>
    </row>
    <row r="255" spans="1:41" ht="18" customHeight="1" hidden="1">
      <c r="A255" s="22"/>
      <c r="B255" s="36"/>
      <c r="C255" s="36"/>
      <c r="D255" s="40"/>
      <c r="E255" s="79"/>
      <c r="F255" s="94"/>
      <c r="G255" s="94"/>
      <c r="H255" s="135"/>
      <c r="I255" s="135"/>
      <c r="J255" s="136"/>
      <c r="K255" s="136"/>
      <c r="L255" s="135"/>
      <c r="M255" s="135"/>
      <c r="N255" s="144"/>
      <c r="O255" s="135"/>
      <c r="P255" s="141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  <c r="AJ255" s="141"/>
      <c r="AK255" s="141"/>
      <c r="AL255" s="141"/>
      <c r="AM255" s="141"/>
      <c r="AN255" s="141"/>
      <c r="AO255" s="141"/>
    </row>
    <row r="256" spans="2:41" ht="16.5" hidden="1">
      <c r="B256" s="36"/>
      <c r="C256" s="36"/>
      <c r="D256" s="45"/>
      <c r="E256" s="20"/>
      <c r="F256" s="10"/>
      <c r="G256" s="10"/>
      <c r="H256" s="136"/>
      <c r="I256" s="136"/>
      <c r="J256" s="136"/>
      <c r="K256" s="136"/>
      <c r="L256" s="136"/>
      <c r="M256" s="139"/>
      <c r="N256" s="137"/>
      <c r="O256" s="139"/>
      <c r="P256" s="141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  <c r="AJ256" s="141"/>
      <c r="AK256" s="141"/>
      <c r="AL256" s="141"/>
      <c r="AM256" s="141"/>
      <c r="AN256" s="141"/>
      <c r="AO256" s="141"/>
    </row>
    <row r="257" spans="2:41" ht="16.5" hidden="1">
      <c r="B257" s="36"/>
      <c r="C257" s="36"/>
      <c r="D257" s="45"/>
      <c r="E257" s="20"/>
      <c r="F257" s="10"/>
      <c r="G257" s="10"/>
      <c r="H257" s="136"/>
      <c r="I257" s="136"/>
      <c r="J257" s="136"/>
      <c r="K257" s="136"/>
      <c r="L257" s="136"/>
      <c r="M257" s="136"/>
      <c r="N257" s="140"/>
      <c r="O257" s="139"/>
      <c r="P257" s="141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  <c r="AJ257" s="141"/>
      <c r="AK257" s="141"/>
      <c r="AL257" s="141"/>
      <c r="AM257" s="141"/>
      <c r="AN257" s="141"/>
      <c r="AO257" s="141"/>
    </row>
    <row r="258" spans="2:41" ht="16.5" hidden="1">
      <c r="B258" s="36"/>
      <c r="C258" s="36"/>
      <c r="D258" s="45"/>
      <c r="E258" s="20"/>
      <c r="F258" s="10"/>
      <c r="G258" s="10"/>
      <c r="H258" s="136"/>
      <c r="I258" s="136"/>
      <c r="J258" s="136"/>
      <c r="K258" s="136"/>
      <c r="L258" s="136"/>
      <c r="M258" s="136"/>
      <c r="N258" s="140"/>
      <c r="O258" s="139"/>
      <c r="P258" s="141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  <c r="AJ258" s="141"/>
      <c r="AK258" s="141"/>
      <c r="AL258" s="141"/>
      <c r="AM258" s="141"/>
      <c r="AN258" s="141"/>
      <c r="AO258" s="141"/>
    </row>
    <row r="259" spans="1:41" ht="16.5" hidden="1">
      <c r="A259" s="22"/>
      <c r="B259" s="36"/>
      <c r="C259" s="36"/>
      <c r="D259" s="45"/>
      <c r="E259" s="20"/>
      <c r="F259" s="10"/>
      <c r="G259" s="10"/>
      <c r="H259" s="136"/>
      <c r="I259" s="136"/>
      <c r="J259" s="136"/>
      <c r="K259" s="136"/>
      <c r="L259" s="136"/>
      <c r="M259" s="139"/>
      <c r="N259" s="137"/>
      <c r="O259" s="139"/>
      <c r="P259" s="141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  <c r="AJ259" s="141"/>
      <c r="AK259" s="141"/>
      <c r="AL259" s="141"/>
      <c r="AM259" s="141"/>
      <c r="AN259" s="141"/>
      <c r="AO259" s="141"/>
    </row>
    <row r="260" spans="1:41" ht="16.5" hidden="1">
      <c r="A260" s="22"/>
      <c r="B260" s="36"/>
      <c r="C260" s="36"/>
      <c r="D260" s="45"/>
      <c r="E260" s="20"/>
      <c r="F260" s="10"/>
      <c r="G260" s="10"/>
      <c r="H260" s="136"/>
      <c r="I260" s="136"/>
      <c r="J260" s="136"/>
      <c r="K260" s="136"/>
      <c r="L260" s="136"/>
      <c r="M260" s="136"/>
      <c r="N260" s="140"/>
      <c r="O260" s="136"/>
      <c r="P260" s="141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  <c r="AJ260" s="141"/>
      <c r="AK260" s="141"/>
      <c r="AL260" s="141"/>
      <c r="AM260" s="141"/>
      <c r="AN260" s="141"/>
      <c r="AO260" s="141"/>
    </row>
    <row r="261" spans="1:41" ht="16.5" hidden="1">
      <c r="A261" s="22"/>
      <c r="B261" s="36"/>
      <c r="C261" s="36"/>
      <c r="D261" s="45"/>
      <c r="E261" s="20"/>
      <c r="F261" s="10"/>
      <c r="G261" s="10"/>
      <c r="H261" s="136"/>
      <c r="I261" s="136"/>
      <c r="J261" s="136"/>
      <c r="K261" s="136"/>
      <c r="L261" s="136"/>
      <c r="M261" s="136"/>
      <c r="N261" s="140"/>
      <c r="O261" s="136"/>
      <c r="P261" s="141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  <c r="AJ261" s="141"/>
      <c r="AK261" s="141"/>
      <c r="AL261" s="141"/>
      <c r="AM261" s="141"/>
      <c r="AN261" s="141"/>
      <c r="AO261" s="141"/>
    </row>
    <row r="262" spans="1:41" ht="18" customHeight="1" hidden="1">
      <c r="A262" s="22"/>
      <c r="B262" s="36"/>
      <c r="C262" s="36"/>
      <c r="D262" s="40"/>
      <c r="E262" s="20"/>
      <c r="F262" s="10"/>
      <c r="G262" s="10"/>
      <c r="H262" s="136"/>
      <c r="I262" s="136"/>
      <c r="J262" s="136">
        <f aca="true" t="shared" si="23" ref="J262:K279">H262-F262</f>
        <v>0</v>
      </c>
      <c r="K262" s="136">
        <f t="shared" si="23"/>
        <v>0</v>
      </c>
      <c r="L262" s="146"/>
      <c r="M262" s="136"/>
      <c r="N262" s="140"/>
      <c r="O262" s="139"/>
      <c r="P262" s="141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  <c r="AJ262" s="141"/>
      <c r="AK262" s="141"/>
      <c r="AL262" s="141"/>
      <c r="AM262" s="141"/>
      <c r="AN262" s="141"/>
      <c r="AO262" s="141"/>
    </row>
    <row r="263" spans="1:41" ht="33">
      <c r="A263" s="1">
        <v>3111</v>
      </c>
      <c r="B263" s="36">
        <v>60</v>
      </c>
      <c r="C263" s="36">
        <v>921</v>
      </c>
      <c r="D263" s="45">
        <v>70499</v>
      </c>
      <c r="E263" s="84" t="s">
        <v>262</v>
      </c>
      <c r="F263" s="10"/>
      <c r="G263" s="10"/>
      <c r="H263" s="136"/>
      <c r="I263" s="136" t="e">
        <f>'USD 19-21'!#REF!*69.2</f>
        <v>#REF!</v>
      </c>
      <c r="J263" s="136"/>
      <c r="K263" s="136"/>
      <c r="L263" s="136"/>
      <c r="M263" s="136" t="e">
        <f>'USD 19-21'!#REF!*72.4</f>
        <v>#REF!</v>
      </c>
      <c r="N263" s="137"/>
      <c r="O263" s="136" t="e">
        <f>'USD 19-21'!#REF!*69.2</f>
        <v>#REF!</v>
      </c>
      <c r="P263" s="141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  <c r="AJ263" s="141"/>
      <c r="AK263" s="141"/>
      <c r="AL263" s="141"/>
      <c r="AM263" s="141"/>
      <c r="AN263" s="141"/>
      <c r="AO263" s="141"/>
    </row>
    <row r="264" spans="1:41" ht="33">
      <c r="A264" s="165">
        <v>3214</v>
      </c>
      <c r="B264" s="36">
        <v>60</v>
      </c>
      <c r="C264" s="36">
        <v>931</v>
      </c>
      <c r="D264" s="45">
        <v>70499</v>
      </c>
      <c r="E264" s="20" t="s">
        <v>263</v>
      </c>
      <c r="F264" s="10"/>
      <c r="G264" s="10"/>
      <c r="H264" s="136"/>
      <c r="I264" s="136" t="e">
        <f>'USD 19-21'!#REF!*69.2</f>
        <v>#REF!</v>
      </c>
      <c r="J264" s="136"/>
      <c r="K264" s="136"/>
      <c r="L264" s="136"/>
      <c r="M264" s="136" t="e">
        <f>'USD 19-21'!#REF!*72.4</f>
        <v>#REF!</v>
      </c>
      <c r="N264" s="137"/>
      <c r="O264" s="136" t="e">
        <f>'USD 19-21'!#REF!*69.2</f>
        <v>#REF!</v>
      </c>
      <c r="P264" s="141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  <c r="AJ264" s="141"/>
      <c r="AK264" s="141"/>
      <c r="AL264" s="141"/>
      <c r="AM264" s="141"/>
      <c r="AN264" s="141"/>
      <c r="AO264" s="141"/>
    </row>
    <row r="265" spans="1:41" ht="33">
      <c r="A265" s="1">
        <v>3111</v>
      </c>
      <c r="B265" s="36">
        <v>60</v>
      </c>
      <c r="C265" s="36">
        <v>921</v>
      </c>
      <c r="D265" s="45">
        <v>70499</v>
      </c>
      <c r="E265" s="84" t="s">
        <v>266</v>
      </c>
      <c r="F265" s="10"/>
      <c r="G265" s="10"/>
      <c r="H265" s="136"/>
      <c r="I265" s="136" t="e">
        <f>'USD 19-21'!#REF!*69.2</f>
        <v>#REF!</v>
      </c>
      <c r="J265" s="136"/>
      <c r="K265" s="136"/>
      <c r="L265" s="136"/>
      <c r="M265" s="136" t="e">
        <f>'USD 19-21'!#REF!*72.4</f>
        <v>#REF!</v>
      </c>
      <c r="N265" s="137"/>
      <c r="O265" s="136" t="e">
        <f>'USD 19-21'!#REF!*69.2</f>
        <v>#REF!</v>
      </c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  <c r="AJ265" s="141"/>
      <c r="AK265" s="141"/>
      <c r="AL265" s="141"/>
      <c r="AM265" s="141"/>
      <c r="AN265" s="141"/>
      <c r="AO265" s="141"/>
    </row>
    <row r="266" spans="1:41" ht="33">
      <c r="A266" s="165">
        <v>3214</v>
      </c>
      <c r="B266" s="36">
        <v>60</v>
      </c>
      <c r="C266" s="36">
        <v>931</v>
      </c>
      <c r="D266" s="45">
        <v>70499</v>
      </c>
      <c r="E266" s="20" t="s">
        <v>267</v>
      </c>
      <c r="F266" s="10"/>
      <c r="G266" s="10"/>
      <c r="H266" s="136"/>
      <c r="I266" s="136" t="e">
        <f>'USD 19-21'!#REF!*69.2</f>
        <v>#REF!</v>
      </c>
      <c r="J266" s="136"/>
      <c r="K266" s="136"/>
      <c r="L266" s="136"/>
      <c r="M266" s="136" t="e">
        <f>'USD 19-21'!#REF!*72.4</f>
        <v>#REF!</v>
      </c>
      <c r="N266" s="137"/>
      <c r="O266" s="136" t="e">
        <f>'USD 19-21'!#REF!*69.2</f>
        <v>#REF!</v>
      </c>
      <c r="P266" s="141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  <c r="AJ266" s="141"/>
      <c r="AK266" s="141"/>
      <c r="AL266" s="141"/>
      <c r="AM266" s="141"/>
      <c r="AN266" s="141"/>
      <c r="AO266" s="141"/>
    </row>
    <row r="267" spans="1:42" ht="33">
      <c r="A267" s="1">
        <v>3111</v>
      </c>
      <c r="B267" s="36">
        <v>60</v>
      </c>
      <c r="C267" s="36">
        <v>921</v>
      </c>
      <c r="D267" s="45">
        <v>70499</v>
      </c>
      <c r="E267" s="84" t="s">
        <v>264</v>
      </c>
      <c r="F267" s="10"/>
      <c r="G267" s="10"/>
      <c r="H267" s="136"/>
      <c r="I267" s="136" t="e">
        <f>'USD 19-21'!#REF!*69.2</f>
        <v>#REF!</v>
      </c>
      <c r="J267" s="136"/>
      <c r="K267" s="136"/>
      <c r="L267" s="136"/>
      <c r="M267" s="136" t="e">
        <f>'USD 19-21'!#REF!*72.4</f>
        <v>#REF!</v>
      </c>
      <c r="N267" s="137"/>
      <c r="O267" s="136" t="e">
        <f>'USD 19-21'!#REF!*69.2</f>
        <v>#REF!</v>
      </c>
      <c r="P267" s="141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  <c r="AJ267" s="141"/>
      <c r="AK267" s="141"/>
      <c r="AL267" s="141"/>
      <c r="AM267" s="141"/>
      <c r="AN267" s="141"/>
      <c r="AO267" s="141"/>
      <c r="AP267" s="1">
        <v>4620</v>
      </c>
    </row>
    <row r="268" spans="1:41" ht="33">
      <c r="A268" s="165">
        <v>3214</v>
      </c>
      <c r="B268" s="36">
        <v>60</v>
      </c>
      <c r="C268" s="36">
        <v>931</v>
      </c>
      <c r="D268" s="45">
        <v>70499</v>
      </c>
      <c r="E268" s="20" t="s">
        <v>265</v>
      </c>
      <c r="F268" s="10"/>
      <c r="G268" s="10"/>
      <c r="H268" s="136"/>
      <c r="I268" s="136" t="e">
        <f>'USD 19-21'!#REF!*69.2</f>
        <v>#REF!</v>
      </c>
      <c r="J268" s="136"/>
      <c r="K268" s="136"/>
      <c r="L268" s="136"/>
      <c r="M268" s="136" t="e">
        <f>'USD 19-21'!#REF!*72.4</f>
        <v>#REF!</v>
      </c>
      <c r="N268" s="137"/>
      <c r="O268" s="136" t="e">
        <f>'USD 19-21'!#REF!*69.2</f>
        <v>#REF!</v>
      </c>
      <c r="P268" s="141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  <c r="AJ268" s="141"/>
      <c r="AK268" s="141"/>
      <c r="AL268" s="141"/>
      <c r="AM268" s="141"/>
      <c r="AN268" s="141"/>
      <c r="AO268" s="141"/>
    </row>
    <row r="269" spans="1:41" ht="18" customHeight="1">
      <c r="A269" s="22"/>
      <c r="B269" s="72"/>
      <c r="C269" s="72"/>
      <c r="D269" s="72"/>
      <c r="E269" s="121" t="s">
        <v>13</v>
      </c>
      <c r="F269" s="93">
        <f>F15+F21+F31+F63+F77+F91+F114+F140+F180+F254+F207+F185</f>
        <v>21875.74290123457</v>
      </c>
      <c r="G269" s="93">
        <f>G15+G21+G31+G63+G77+G91+G114+G140+G180+G254+G207+G185+G202</f>
        <v>637267</v>
      </c>
      <c r="H269" s="138" t="e">
        <f>H15+H21+H31+H63+H77+H91+H114+H140+H180+H254+H207+H185</f>
        <v>#REF!</v>
      </c>
      <c r="I269" s="138" t="e">
        <f>I15+I21+I31+I63+I77+I91+I114+I140+I180+I254+I207+I185+I202</f>
        <v>#REF!</v>
      </c>
      <c r="J269" s="136" t="e">
        <f t="shared" si="23"/>
        <v>#REF!</v>
      </c>
      <c r="K269" s="136" t="e">
        <f t="shared" si="23"/>
        <v>#REF!</v>
      </c>
      <c r="L269" s="138" t="e">
        <f>L15+L21+L31+L63+L77+L91+L114+L140+L180+L254+L207+L185</f>
        <v>#REF!</v>
      </c>
      <c r="M269" s="138" t="e">
        <f>M15+M21+M31+M63+M77+M91+M114+M140+M180+M254+M207+M185+M202</f>
        <v>#REF!</v>
      </c>
      <c r="N269" s="143" t="e">
        <f>N15+N21+N31+N63+N77+N91+N114+N140+N180+N254+N207+N185</f>
        <v>#REF!</v>
      </c>
      <c r="O269" s="138" t="e">
        <f>O15+O21+O31+O63+O77+O91+O114+O140+O180+O254+O207+O185+O202</f>
        <v>#REF!</v>
      </c>
      <c r="P269" s="138" t="e">
        <f>P15+P21+P31+P63+P77+P91+P114+P140+P180+P254+P207+P185</f>
        <v>#REF!</v>
      </c>
      <c r="Q269" s="138" t="e">
        <f>Q15+Q21+Q31+Q63+Q77+Q91+Q114+Q140+Q180+Q254+Q207+Q185+Q202</f>
        <v>#REF!</v>
      </c>
      <c r="R269" s="141"/>
      <c r="S269" s="141"/>
      <c r="T269" s="141"/>
      <c r="U269" s="141"/>
      <c r="V269" s="141"/>
      <c r="W269" s="141"/>
      <c r="X269" s="138">
        <f>X15+X21+X31+X63+X77+X91+X114+X140+X180+X254+X207+X185</f>
        <v>35793.293333333335</v>
      </c>
      <c r="Y269" s="138" t="e">
        <f>Y15+Y21+Y31+Y63+Y77+Y91+Y114+Y140+Y180+Y254+Y207+Y185+Y202</f>
        <v>#REF!</v>
      </c>
      <c r="Z269" s="141"/>
      <c r="AA269" s="141"/>
      <c r="AB269" s="141"/>
      <c r="AC269" s="141"/>
      <c r="AD269" s="141"/>
      <c r="AE269" s="141"/>
      <c r="AF269" s="138">
        <f>AF15+AF21+AF31+AF63+AF77+AF91+AF114+AF140+AF180+AF254+AF207+AF185</f>
        <v>36204.113333333335</v>
      </c>
      <c r="AG269" s="138" t="e">
        <f>AG15+AG21+AG31+AG63+AG77+AG91+AG114+AG140+AG180+AG254+AG207+AG185+AG202</f>
        <v>#REF!</v>
      </c>
      <c r="AH269" s="141"/>
      <c r="AI269" s="141"/>
      <c r="AJ269" s="141"/>
      <c r="AK269" s="141"/>
      <c r="AL269" s="141"/>
      <c r="AM269" s="141"/>
      <c r="AN269" s="138">
        <f>AN15+AN21+AN31+AN63+AN77+AN91+AN114+AN140+AN180+AN254+AN207+AN185</f>
        <v>32396.033333333333</v>
      </c>
      <c r="AO269" s="138" t="e">
        <f>AO15+AO21+AO31+AO63+AO77+AO91+AO114+AO140+AO180+AO254+AO207+AO185+AO202</f>
        <v>#REF!</v>
      </c>
    </row>
    <row r="270" spans="1:41" ht="18" customHeight="1">
      <c r="A270" s="22"/>
      <c r="B270" s="46"/>
      <c r="C270" s="46"/>
      <c r="D270" s="46"/>
      <c r="E270" s="123"/>
      <c r="F270" s="95"/>
      <c r="G270" s="95"/>
      <c r="H270" s="149"/>
      <c r="I270" s="149"/>
      <c r="J270" s="136">
        <f t="shared" si="23"/>
        <v>0</v>
      </c>
      <c r="K270" s="136">
        <f t="shared" si="23"/>
        <v>0</v>
      </c>
      <c r="L270" s="149"/>
      <c r="M270" s="149"/>
      <c r="N270" s="149"/>
      <c r="O270" s="136"/>
      <c r="P270" s="141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  <c r="AJ270" s="141"/>
      <c r="AK270" s="141"/>
      <c r="AL270" s="141"/>
      <c r="AM270" s="141"/>
      <c r="AN270" s="141"/>
      <c r="AO270" s="141"/>
    </row>
    <row r="271" spans="1:41" ht="18" customHeight="1">
      <c r="A271" s="22"/>
      <c r="B271" s="46"/>
      <c r="C271" s="46"/>
      <c r="D271" s="46"/>
      <c r="E271" s="124" t="s">
        <v>14</v>
      </c>
      <c r="F271" s="96"/>
      <c r="G271" s="96" t="e">
        <f>G19+G35+G66+G95+G100+G108+G110+G39+G41+G42+#REF!+G47+#REF!+G49+G53+G56+G143+G144+G146+G151+G152+G153+G154+G155+G178+G183+G258+#REF!+G224+#REF!+G228+G230+G232+G234+G236+G238+G240+G57+G43+G197+G99+G210+G212+G214+G218+G220+G190+G112+G58+G59+G26+G29+G111+G160+G161+G164+G166+G169+G170+G171+G174+G176+G194+G105+G205+G54+G261+G148+G149+G157+G72+G75</f>
        <v>#REF!</v>
      </c>
      <c r="H271" s="145"/>
      <c r="I271" s="145" t="e">
        <f>I19+I26+I29+I35+I39+I41+I42+I43+I47+I49+I50+I53+I54+I56+I57+I59+I61+I66+I72+I75+I95+I99+I100+I105+I108+I110+I111+I112+I143+I144+I146+I148+I149+I151+I152+I153+I154+I155+I157+I160+I161+I164+I166+I169+I170+I171+I176+I174+I178+I183+I190+I194+I197+I200+I205+I210+I212+I214+I216+I218+I220+I222+I224+I226+I228+I230+I232+I234+I236+I238+I240+I242+I244+I246+I248+I250+I252+I264+I266+I268</f>
        <v>#REF!</v>
      </c>
      <c r="J271" s="136">
        <f t="shared" si="23"/>
        <v>0</v>
      </c>
      <c r="K271" s="136" t="e">
        <f t="shared" si="23"/>
        <v>#REF!</v>
      </c>
      <c r="L271" s="145"/>
      <c r="M271" s="145" t="e">
        <f>M19+M26+M29+M35+M39+M41+M42+M43+M47+M49+M50+M53+M54+M56+M57+M59+M61+M66+M72+M75+M95+M99+M100+M105+M108+M110+M111+M112+M143+M144+M146+M148+M149+M151+M152+M153+M154+M155+M157+M160+M161+M164+M166+M169+M170+M171+M176+M174+M178+M183+M190+M194+M197+M200+M205+M210+M212+M214+M216+M218+M220+M222+M224+M226+M228+M230+M232+M234+M236+M238+M240+M242+M244+M246+M248+M250+M252+M264+M266+M268</f>
        <v>#REF!</v>
      </c>
      <c r="N271" s="150"/>
      <c r="O271" s="145" t="e">
        <f>O19+O26+O29+O35+O39+O41+O42+O43+O47+O49+O50+O53+O54+O56+O57+O59+O61+O66+O72+O75+O95+O99+O100+O105+O108+O110+O111+O112+O143+O144+O146+O148+O149+O151+O152+O153+O154+O155+O157+O160+O161+O164+O166+O169+O170+O171+O176+O174+O178+O183+O190+O194+O197+O200+O205+O210+O212+O214+O216+O218+O220+O222+O224+O226+O228+O230+O232+O234+O236+O238+O240+O242+O244+O246+O248+O250+O252+O264+O266+O268</f>
        <v>#REF!</v>
      </c>
      <c r="P271" s="141"/>
      <c r="Q271" s="145" t="e">
        <f>Q19+Q26+Q29+Q35+Q39+Q41+Q42+#REF!+Q43+Q47+#REF!+Q49+Q53+Q54+Q56+Q57+Q58+Q59+Q66+Q75+Q95+Q99+Q100+Q105+Q108+Q110+Q111+Q112+Q143+Q144+Q146+Q148+Q149+Q151+Q152+Q153+Q154+Q155+Q157+Q160+Q161+Q164+Q166+Q169+Q170+Q171+Q174+Q176+Q183+Q188+Q190+Q194+Q197+Q205+Q210+Q212+Q214+Q216+Q218+Q220+Q222+Q224+#REF!+Q228+Q230+Q232+Q234+Q236+Q238+Q240+#REF!+Q178+Q72</f>
        <v>#REF!</v>
      </c>
      <c r="R271" s="141"/>
      <c r="S271" s="141"/>
      <c r="T271" s="141"/>
      <c r="U271" s="141"/>
      <c r="V271" s="141"/>
      <c r="W271" s="141"/>
      <c r="X271" s="141"/>
      <c r="Y271" s="145" t="e">
        <f>Y19+Y26+Y29+Y35+Y39+Y41+Y42+#REF!+Y43+Y47+#REF!+Y49+Y53+Y54+Y56+Y57+Y58+Y59+Y66+Y75+Y95+Y99+Y100+Y105+Y108+Y110+Y111+Y112+Y143+Y144+Y146+Y148+Y149+Y151+Y152+Y153+Y154+Y155+Y157+Y160+Y161+Y164+Y166+Y169+Y170+Y171+Y174+Y176+Y183+Y188+Y190+Y194+Y197+Y205+Y210+Y212+Y214+Y216+Y218+Y220+Y222+Y224+#REF!+Y228+Y230+Y232+Y234+Y236+Y238+Y240+#REF!+Y178+Y72</f>
        <v>#REF!</v>
      </c>
      <c r="Z271" s="141"/>
      <c r="AA271" s="141"/>
      <c r="AB271" s="141"/>
      <c r="AC271" s="141"/>
      <c r="AD271" s="141"/>
      <c r="AE271" s="141"/>
      <c r="AF271" s="141"/>
      <c r="AG271" s="145" t="e">
        <f>AG19+AG26+AG29+AG35+AG39+AG41+AG42+#REF!+AG43+AG47+#REF!+AG49+AG53+AG54+AG56+AG57+AG58+AG59+AG66+AG75+AG95+AG99+AG100+AG105+AG108+AG110+AG111+AG112+AG143+AG144+AG146+AG148+AG149+AG151+AG152+AG153+AG154+AG155+AG157+AG160+AG161+AG164+AG166+AG169+AG170+AG171+AG174+AG176+AG183+AG188+AG190+AG194+AG197+AG205+AG210+AG212+AG214+AG216+AG218+AG220+AG222+AG224+#REF!+AG228+AG230+AG232+AG234+AG236+AG238+AG240+#REF!+AG178+AG72</f>
        <v>#REF!</v>
      </c>
      <c r="AH271" s="141"/>
      <c r="AI271" s="141"/>
      <c r="AJ271" s="141"/>
      <c r="AK271" s="141"/>
      <c r="AL271" s="141"/>
      <c r="AM271" s="141"/>
      <c r="AN271" s="141"/>
      <c r="AO271" s="145" t="e">
        <f>AO19+AO26+AO29+AO35+AO39+AO41+AO42+#REF!+AO43+AO47+#REF!+AO49+AO53+AO54+AO56+AO57+AO58+AO59+AO66+AO75+AO95+AO99+AO100+AO105+AO108+AO110+AO111+AO112+AO143+AO144+AO146+AO148+AO149+AO151+AO152+AO153+AO154+AO155+AO157+AO160+AO161+AO164+AO166+AO169+AO170+AO171+AO174+AO176+AO183+AO188+AO190+AO194+AO197+AO205+AO210+AO212+AO214+AO216+AO218+AO220+AO222+AO224+#REF!+AO228+AO230+AO232+AO234+AO236+AO238+AO240+#REF!+AO178+AO72</f>
        <v>#REF!</v>
      </c>
    </row>
    <row r="272" spans="1:41" ht="18" customHeight="1">
      <c r="A272" s="22"/>
      <c r="B272" s="46"/>
      <c r="C272" s="46"/>
      <c r="D272" s="46"/>
      <c r="E272" s="124" t="s">
        <v>15</v>
      </c>
      <c r="F272" s="96"/>
      <c r="G272" s="96" t="e">
        <f>G18+G23+G34+G37+G65+G68+G69+G80+G81+G84+G85+G86+G94+G101+G102+G107+G109+G38+G46+G51+G52+G55+G182+G257+G223+G227+G229+G231+G233+G235+G237+G239+G40+G177+G196+G97+G82+G209+G211+G213+G217+G219+G189+G25+G28+G103+G45+#REF!+G163+G168+G173+G192+G260+G104+G204+G221+#REF!+G159+#REF!+#REF!+G71+G74+G87</f>
        <v>#REF!</v>
      </c>
      <c r="H272" s="145"/>
      <c r="I272" s="145" t="e">
        <f>I18+I25+I28+I34+I37+I38+I40+I45+I46+I48+I51+I52+I55+I58+I60+I65+I68+I69+I71+I74+I79+I80+I81+I82+I83+I84+I85+I86+I87+I88+I94+I97+I98+I101+I102+I103+I107+I109+I159+I163+I168+I173+I177+I182+I189+I192+I196+I199+I204+I209+I211+I213+I217+I219+I221+I223+I225+I227+I229+I231+I233+I235+I237+I239+I241+I243+I245+I249+I247+I251+I263+I265+I267</f>
        <v>#REF!</v>
      </c>
      <c r="J272" s="136">
        <f t="shared" si="23"/>
        <v>0</v>
      </c>
      <c r="K272" s="136" t="e">
        <f t="shared" si="23"/>
        <v>#REF!</v>
      </c>
      <c r="L272" s="145"/>
      <c r="M272" s="145" t="e">
        <f>M18+M25+M28+M34+M37+M38+M40+M45+M46+M48+M51+M52+M55+M58+M60+M65+M68+M69+M71+M74+M79+M80+M81+M82+M83+M84+M85+M86+M87+M88+M94+M97+M98+M101+M102+M103+M107+M109+M159+M163+M168+M173+M177+M182+M189+M192+M196+M199+M204+M209+M211+M213+M217+M219+M221+M223+M225+M227+M229+M231+M233+M235+M237+M239+M241+M243+M245+M249+M247+M251+M263+M265+M267</f>
        <v>#REF!</v>
      </c>
      <c r="N272" s="150"/>
      <c r="O272" s="145" t="e">
        <f>O18+O25+O28+O34+O37+O38+O40+O45+O46+O48+O51+O52+O55+O58+O60+O65+O68+O69+O71+O74+O79+O80+O81+O82+O83+O84+O85+O86+O87+O88+O94+O97+O98+O101+O102+O103+O107+O109+O159+O163+O168+O173+O177+O182+O189+O192+O196+O199+O204+O209+O211+O213+O217+O219+O221+O223+O225+O227+O229+O231+O233+O235+O237+O239+O241+O243+O245+O249+O247+O251+O263+O265+O267</f>
        <v>#REF!</v>
      </c>
      <c r="P272" s="141"/>
      <c r="Q272" s="145" t="e">
        <f>Q18+Q23+Q28+Q34+Q37+Q38+Q40+Q45+Q46+#REF!+Q51+Q52+Q55+Q65+Q68+Q69+Q71+Q74+Q79+Q80+#REF!+Q81+#REF!+Q82+#REF!+Q83+Q84+Q94+Q97+Q98+Q101+Q102+Q103+Q104+Q107+#REF!+Q109+Q159+Q163+Q168+Q173+Q177+Q182+Q189+Q192+Q196+Q204+Q209+Q211+Q213+Q215+Q217+Q219+Q221+Q223+#REF!+Q227+Q229+Q231+Q233+Q235+Q237+Q239+#REF!+Q25</f>
        <v>#REF!</v>
      </c>
      <c r="R272" s="141"/>
      <c r="S272" s="141"/>
      <c r="T272" s="141"/>
      <c r="U272" s="141"/>
      <c r="V272" s="141"/>
      <c r="W272" s="141"/>
      <c r="X272" s="141"/>
      <c r="Y272" s="145" t="e">
        <f>Y18+Y23+Y28+Y34+Y37+Y38+Y40+Y45+Y46+#REF!+Y51+Y52+Y55+Y65+Y68+Y69+Y71+Y74+Y79+Y80+#REF!+Y81+#REF!+Y82+#REF!+Y83+Y84+Y94+Y97+Y98+Y101+Y102+Y103+Y104+Y107+#REF!+Y109+Y159+Y163+Y168+Y173+Y177+Y182+Y189+Y192+Y196+Y204+Y209+Y211+Y213+Y215+Y217+Y219+Y221+Y223+#REF!+Y227+Y229+Y231+Y233+Y235+Y237+Y239+#REF!+Y25</f>
        <v>#REF!</v>
      </c>
      <c r="Z272" s="141"/>
      <c r="AA272" s="141"/>
      <c r="AB272" s="141"/>
      <c r="AC272" s="141"/>
      <c r="AD272" s="141"/>
      <c r="AE272" s="141"/>
      <c r="AF272" s="141"/>
      <c r="AG272" s="145" t="e">
        <f>AG18+AG23+AG28+AG34+AG37+AG38+AG40+AG45+AG46+#REF!+AG51+AG52+AG55+AG65+AG68+AG69+AG71+AG74+AG79+AG80+#REF!+AG81+#REF!+AG82+#REF!+AG83+AG84+AG94+AG97+AG98+AG101+AG102+AG103+AG104+AG107+#REF!+AG109+AG159+AG163+AG168+AG173+AG177+AG182+AG189+AG192+AG196+AG204+AG209+AG211+AG213+AG215+AG217+AG219+AG221+AG223+#REF!+AG227+AG229+AG231+AG233+AG235+AG237+AG239+#REF!+AG25</f>
        <v>#REF!</v>
      </c>
      <c r="AH272" s="141"/>
      <c r="AI272" s="141"/>
      <c r="AJ272" s="141"/>
      <c r="AK272" s="141"/>
      <c r="AL272" s="141"/>
      <c r="AM272" s="141"/>
      <c r="AN272" s="141"/>
      <c r="AO272" s="145" t="e">
        <f>AO18+AO23+AO28+AO34+AO37+AO38+AO40+AO45+AO46+#REF!+AO51+AO52+AO55+AO65+AO68+AO69+AO71+AO74+AO79+AO80+#REF!+AO81+#REF!+AO82+#REF!+AO83+AO84+AO94+AO97+AO98+AO101+AO102+AO103+AO104+AO107+#REF!+AO109+AO159+AO163+AO168+AO173+AO177+AO182+AO189+AO192+AO196+AO204+AO209+AO211+AO213+AO215+AO217+AO219+AO221+AO223+#REF!+AO227+AO229+AO231+AO233+AO235+AO237+AO239+#REF!+AO25</f>
        <v>#REF!</v>
      </c>
    </row>
    <row r="273" spans="1:41" ht="18" customHeight="1">
      <c r="A273" s="22"/>
      <c r="B273" s="46"/>
      <c r="C273" s="46"/>
      <c r="D273" s="46"/>
      <c r="E273" s="97"/>
      <c r="F273" s="97"/>
      <c r="G273" s="97"/>
      <c r="H273" s="151"/>
      <c r="I273" s="151"/>
      <c r="J273" s="136">
        <f t="shared" si="23"/>
        <v>0</v>
      </c>
      <c r="K273" s="136">
        <f t="shared" si="23"/>
        <v>0</v>
      </c>
      <c r="L273" s="151"/>
      <c r="M273" s="151"/>
      <c r="N273" s="151"/>
      <c r="O273" s="142"/>
      <c r="P273" s="141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  <c r="AJ273" s="141"/>
      <c r="AK273" s="141"/>
      <c r="AL273" s="141"/>
      <c r="AM273" s="141"/>
      <c r="AN273" s="141"/>
      <c r="AO273" s="141"/>
    </row>
    <row r="274" spans="1:41" ht="18" customHeight="1">
      <c r="A274" s="270">
        <v>3214</v>
      </c>
      <c r="B274" s="271"/>
      <c r="C274" s="271"/>
      <c r="D274" s="272"/>
      <c r="E274" s="124" t="s">
        <v>82</v>
      </c>
      <c r="F274" s="98"/>
      <c r="G274" s="96" t="e">
        <f>G39+G41+G42+#REF!+G43+G47+#REF!+G49+G53+G56+G57+G178+G224+#REF!+G228+G230+G234+G236+G238+G240+G210+G212+G214+G218+G220+G112+G58+G59+G54</f>
        <v>#REF!</v>
      </c>
      <c r="H274" s="142"/>
      <c r="I274" s="145" t="e">
        <f>I41+I42+I39+I43+I47+I49+I50+I53+I54+I56+I57+I58+I59+I61+I111+I112+I178+I210+I212+I214+I216+I218+I220+I222+I224+I226+I228+I230+I234+I236+I238+I240+I242+I244+I246+I248+I250+I252+I264+I266+I268</f>
        <v>#REF!</v>
      </c>
      <c r="J274" s="136">
        <f t="shared" si="23"/>
        <v>0</v>
      </c>
      <c r="K274" s="136" t="e">
        <f t="shared" si="23"/>
        <v>#REF!</v>
      </c>
      <c r="L274" s="142"/>
      <c r="M274" s="145" t="e">
        <f>M41+M42+M39+M43+M47+M49+M50+M53+M54+M56+M57+M58+M59+M61+M111+M112+M178+M210+M212+M214+M216+M218+M220+M222+M224+M226+M228+M230+M234+M236+M238+M240+M242+M244+M246+M248+M250+M252+M264+M266+M268</f>
        <v>#REF!</v>
      </c>
      <c r="N274" s="160"/>
      <c r="O274" s="145" t="e">
        <f>O41+O42+O39+O43+O47+O49+O50+O53+O54+O56+O57+O58+O59+O61+O111+O112+O178+O210+O212+O214+O216+O218+O220+O222+O224+O226+O228+O230+O234+O236+O238+O240+O242+O244+O246+O248+O250+O252+O264+O266+O268</f>
        <v>#REF!</v>
      </c>
      <c r="P274" s="141"/>
      <c r="Q274" s="145" t="e">
        <f>Q39+Q41+Q42+#REF!+Q43+Q47+#REF!+Q53+Q54+Q56+Q57+Q58+Q59+Q112+Q178+Q210+Q212+Q214+Q216+Q218+Q220+Q224+#REF!+Q228+Q230+Q234+Q236+Q238+Q240</f>
        <v>#REF!</v>
      </c>
      <c r="R274" s="141"/>
      <c r="S274" s="141"/>
      <c r="T274" s="141"/>
      <c r="U274" s="141"/>
      <c r="V274" s="141"/>
      <c r="W274" s="141"/>
      <c r="X274" s="141"/>
      <c r="Y274" s="145" t="e">
        <f>Y39+Y41+Y42+#REF!+Y43+Y47+#REF!+Y53+Y54+Y56+Y57+Y58+Y59+Y112+Y178+Y210+Y212+Y214+Y216+Y218+Y220+Y224+#REF!+Y228+Y230+Y234+Y236+Y238+Y240</f>
        <v>#REF!</v>
      </c>
      <c r="Z274" s="141"/>
      <c r="AA274" s="141"/>
      <c r="AB274" s="141"/>
      <c r="AC274" s="141"/>
      <c r="AD274" s="141"/>
      <c r="AE274" s="141"/>
      <c r="AF274" s="141"/>
      <c r="AG274" s="145" t="e">
        <f>AG39+AG41+AG42+#REF!+AG43+AG47+#REF!+AG53+AG54+AG56+AG57+AG58+AG59+AG112+AG178+AG210+AG212+AG214+AG216+AG218+AG220+AG224+#REF!+AG228+AG230+AG234+AG236+AG238+AG240</f>
        <v>#REF!</v>
      </c>
      <c r="AH274" s="141"/>
      <c r="AI274" s="141"/>
      <c r="AJ274" s="141"/>
      <c r="AK274" s="141"/>
      <c r="AL274" s="141"/>
      <c r="AM274" s="141"/>
      <c r="AN274" s="141"/>
      <c r="AO274" s="145" t="e">
        <f>AO39+AO41+AO42+#REF!+AO43+AO47+#REF!+AO53+AO54+AO56+AO57+AO58+AO59+AO112+AO178+AO210+AO212+AO214+AO216+AO218+AO220+AO224+#REF!+AO228+AO230+AO234+AO236+AO238+AO240</f>
        <v>#REF!</v>
      </c>
    </row>
    <row r="275" spans="1:41" ht="18" customHeight="1">
      <c r="A275" s="273"/>
      <c r="B275" s="274"/>
      <c r="C275" s="274"/>
      <c r="D275" s="275"/>
      <c r="E275" s="124" t="s">
        <v>83</v>
      </c>
      <c r="F275" s="98"/>
      <c r="G275" s="96" t="e">
        <f>G38+G40+G46+G52+G55+G217+G219+#REF!</f>
        <v>#REF!</v>
      </c>
      <c r="H275" s="142"/>
      <c r="I275" s="145" t="e">
        <f>I38+I40+I52+I55+I60</f>
        <v>#REF!</v>
      </c>
      <c r="J275" s="136">
        <f t="shared" si="23"/>
        <v>0</v>
      </c>
      <c r="K275" s="136" t="e">
        <f t="shared" si="23"/>
        <v>#REF!</v>
      </c>
      <c r="L275" s="142"/>
      <c r="M275" s="145" t="e">
        <f>M38+M40+M52+M55+M60</f>
        <v>#REF!</v>
      </c>
      <c r="N275" s="160"/>
      <c r="O275" s="145" t="e">
        <f>O38+O40+O52+O55+O60</f>
        <v>#REF!</v>
      </c>
      <c r="P275" s="141"/>
      <c r="Q275" s="145" t="e">
        <f>Q38+Q40+Q46+#REF!+Q52+Q55</f>
        <v>#REF!</v>
      </c>
      <c r="R275" s="141"/>
      <c r="S275" s="141"/>
      <c r="T275" s="141"/>
      <c r="U275" s="141"/>
      <c r="V275" s="141"/>
      <c r="W275" s="141"/>
      <c r="X275" s="141"/>
      <c r="Y275" s="145" t="e">
        <f>Y38+Y40+Y46+#REF!+Y52+Y55</f>
        <v>#REF!</v>
      </c>
      <c r="Z275" s="141"/>
      <c r="AA275" s="141"/>
      <c r="AB275" s="141"/>
      <c r="AC275" s="141"/>
      <c r="AD275" s="141"/>
      <c r="AE275" s="141"/>
      <c r="AF275" s="141"/>
      <c r="AG275" s="145" t="e">
        <f>AG38+AG40+AG46+#REF!+AG52+AG55</f>
        <v>#REF!</v>
      </c>
      <c r="AH275" s="141"/>
      <c r="AI275" s="141"/>
      <c r="AJ275" s="141"/>
      <c r="AK275" s="141"/>
      <c r="AL275" s="141"/>
      <c r="AM275" s="141"/>
      <c r="AN275" s="141"/>
      <c r="AO275" s="145" t="e">
        <f>AO38+AO40+AO46+#REF!+AO52+AO55</f>
        <v>#REF!</v>
      </c>
    </row>
    <row r="276" spans="1:41" ht="18" customHeight="1">
      <c r="A276" s="276"/>
      <c r="B276" s="277"/>
      <c r="C276" s="277"/>
      <c r="D276" s="278"/>
      <c r="E276" s="124" t="s">
        <v>84</v>
      </c>
      <c r="F276" s="98"/>
      <c r="G276" s="93" t="e">
        <f>G274+G275</f>
        <v>#REF!</v>
      </c>
      <c r="H276" s="142"/>
      <c r="I276" s="138" t="e">
        <f>I274+I275</f>
        <v>#REF!</v>
      </c>
      <c r="J276" s="136">
        <f t="shared" si="23"/>
        <v>0</v>
      </c>
      <c r="K276" s="136" t="e">
        <f t="shared" si="23"/>
        <v>#REF!</v>
      </c>
      <c r="L276" s="142"/>
      <c r="M276" s="138" t="e">
        <f>M274+M275</f>
        <v>#REF!</v>
      </c>
      <c r="N276" s="160"/>
      <c r="O276" s="138" t="e">
        <f>O274+O275</f>
        <v>#REF!</v>
      </c>
      <c r="P276" s="141"/>
      <c r="Q276" s="138" t="e">
        <f>Q274+Q275</f>
        <v>#REF!</v>
      </c>
      <c r="R276" s="141"/>
      <c r="S276" s="141"/>
      <c r="T276" s="141"/>
      <c r="U276" s="141"/>
      <c r="V276" s="141"/>
      <c r="W276" s="141"/>
      <c r="X276" s="141"/>
      <c r="Y276" s="138" t="e">
        <f>Y274+Y275</f>
        <v>#REF!</v>
      </c>
      <c r="Z276" s="141"/>
      <c r="AA276" s="141"/>
      <c r="AB276" s="141"/>
      <c r="AC276" s="141"/>
      <c r="AD276" s="141"/>
      <c r="AE276" s="141"/>
      <c r="AF276" s="141"/>
      <c r="AG276" s="138" t="e">
        <f>AG274+AG275</f>
        <v>#REF!</v>
      </c>
      <c r="AH276" s="141"/>
      <c r="AI276" s="141"/>
      <c r="AJ276" s="141"/>
      <c r="AK276" s="141"/>
      <c r="AL276" s="141"/>
      <c r="AM276" s="141"/>
      <c r="AN276" s="141"/>
      <c r="AO276" s="138" t="e">
        <f>AO274+AO275</f>
        <v>#REF!</v>
      </c>
    </row>
    <row r="277" spans="1:41" ht="18" customHeight="1">
      <c r="A277" s="270">
        <v>3111</v>
      </c>
      <c r="B277" s="271"/>
      <c r="C277" s="271"/>
      <c r="D277" s="272"/>
      <c r="E277" s="124" t="s">
        <v>85</v>
      </c>
      <c r="F277" s="93"/>
      <c r="G277" s="96" t="e">
        <f>G19+G35+G66+G95+G100+G108+G110+G143+G144+G146+G151+G152+G153+G154+G155+G183+G258+G232+#REF!+G197+G99+G190+G26+G29+G111+G160+G161+G164+G166+G169+G171+G174+G176+G194+G170+G105+G205+G261+G148+G149+G157+G72+G75</f>
        <v>#REF!</v>
      </c>
      <c r="H277" s="138"/>
      <c r="I277" s="145" t="e">
        <f>I19+I26+I29+I35+I66+I72+I75+I89+I90+I95+I99+I105+I108+I110+I143+I144+I146+I148+I149+I151+I152+I153+I154+I155+I157+I160+I161+I164+I166+I169+I170+I171+I183+I190+I194+I197+I200+I205+I232</f>
        <v>#REF!</v>
      </c>
      <c r="J277" s="136">
        <f t="shared" si="23"/>
        <v>0</v>
      </c>
      <c r="K277" s="136" t="e">
        <f t="shared" si="23"/>
        <v>#REF!</v>
      </c>
      <c r="L277" s="138"/>
      <c r="M277" s="145" t="e">
        <f>M19+M26+M29+M35+M66+M72+M75+M89+M90+M95+M99+M105+M108+M110+M143+M144+M146+M148+M149+M151+M152+M153+M154+M155+M157+M160+M161+M164+M166+M169+M170+M171+M183+M190+M194+M197+M200+M205+M232</f>
        <v>#REF!</v>
      </c>
      <c r="N277" s="143"/>
      <c r="O277" s="145" t="e">
        <f>O19+O26+O29+O35+O66+O72+O75+O89+O90+O95+O99+O105+O108+O110+O143+O144+O146+O148+O149+O151+O152+O153+O154+O155+O157+O160+O161+O164+O166+O169+O170+O171+O183+O190+O194+O197+O200+O205+O232</f>
        <v>#REF!</v>
      </c>
      <c r="P277" s="141"/>
      <c r="Q277" s="145" t="e">
        <f>Q19+Q26+Q29+Q35+Q66+Q72+Q75+Q95+Q99+Q100+Q105+Q108+Q110+Q111+Q143+Q144+Q146+Q148+Q149+Q151+Q152+Q153+Q154+Q155+Q157+Q160+Q161+Q164+Q166+Q169+Q170+Q171+Q174+Q176+Q183+Q188+Q190+Q194+Q197+Q205+Q222+Q232+#REF!</f>
        <v>#REF!</v>
      </c>
      <c r="R277" s="141"/>
      <c r="S277" s="141"/>
      <c r="T277" s="141"/>
      <c r="U277" s="141"/>
      <c r="V277" s="141"/>
      <c r="W277" s="141"/>
      <c r="X277" s="141"/>
      <c r="Y277" s="145" t="e">
        <f>Y19+Y26+Y29+Y35+Y66+Y72+Y75+Y95+Y99+Y100+Y105+Y108+Y110+Y111+Y143+Y144+Y146+Y148+Y149+Y151+Y152+Y153+Y154+Y155+Y157+Y160+Y161+Y164+Y166+Y169+Y170+Y171+Y174+Y176+Y183+Y188+Y190+Y194+Y197+Y205+Y222+Y232+#REF!</f>
        <v>#REF!</v>
      </c>
      <c r="Z277" s="141"/>
      <c r="AA277" s="141"/>
      <c r="AB277" s="141"/>
      <c r="AC277" s="141"/>
      <c r="AD277" s="141"/>
      <c r="AE277" s="141"/>
      <c r="AF277" s="141"/>
      <c r="AG277" s="145" t="e">
        <f>AG19+AG26+AG29+AG35+AG66+AG72+AG75+AG95+AG99+AG100+AG105+AG108+AG110+AG111+AG143+AG144+AG146+AG148+AG149+AG151+AG152+AG153+AG154+AG155+AG157+AG160+AG161+AG164+AG166+AG169+AG170+AG171+AG174+AG176+AG183+AG188+AG190+AG194+AG197+AG205+AG222+AG232+#REF!</f>
        <v>#REF!</v>
      </c>
      <c r="AH277" s="141"/>
      <c r="AI277" s="141"/>
      <c r="AJ277" s="141"/>
      <c r="AK277" s="141"/>
      <c r="AL277" s="141"/>
      <c r="AM277" s="141"/>
      <c r="AN277" s="141"/>
      <c r="AO277" s="145" t="e">
        <f>AO19+AO26+AO29+AO35+AO66+AO72+AO75+AO95+AO99+AO100+AO105+AO108+AO110+AO111+AO143+AO144+AO146+AO148+AO149+AO151+AO152+AO153+AO154+AO155+AO157+AO160+AO161+AO164+AO166+AO169+AO170+AO171+AO174+AO176+AO183+AO188+AO190+AO194+AO197+AO205+AO222+AO232+#REF!</f>
        <v>#REF!</v>
      </c>
    </row>
    <row r="278" spans="1:41" ht="18" customHeight="1">
      <c r="A278" s="273"/>
      <c r="B278" s="274"/>
      <c r="C278" s="274"/>
      <c r="D278" s="275"/>
      <c r="E278" s="125" t="s">
        <v>86</v>
      </c>
      <c r="F278" s="93"/>
      <c r="G278" s="96" t="e">
        <f>G18+G23+G34+G37+G65+G68+G69+G80+G81+G84+G85+G86+G94+G101+G102+G107+G109+G51+G177+G182+G257+G223+G227+G229+G231+G233+G235+G237+G239+G196+G97+G82+G189+G213+G211+G209+G25+G28+G103+G45+G163+G168+G173+G192+G260+G104+G204+#REF!+G83+G79+G74+G221+#REF!+G159+#REF!+#REF!+G71+G87</f>
        <v>#REF!</v>
      </c>
      <c r="H278" s="138"/>
      <c r="I278" s="145" t="e">
        <f>I18+I25+I28+I34+I37+I45+I51+I65+I68+I69+I71+I74+I79+I80+I81+I82+I83+I84+I85+I86+I87+I88+I94+I97+I98+I101+I102+I104+I107+I109+I163+I159+I168+I173+I177+I182+I189+I192+I196+I199+I204+I209+I211+I213+I215+I217+I219+I221+I223+I225+I227+I229+I231+I233+I235+I237+I239+I241+I243+I245+I247+I249+I251+I263+I265+I267</f>
        <v>#REF!</v>
      </c>
      <c r="J278" s="136">
        <f t="shared" si="23"/>
        <v>0</v>
      </c>
      <c r="K278" s="136" t="e">
        <f t="shared" si="23"/>
        <v>#REF!</v>
      </c>
      <c r="L278" s="138"/>
      <c r="M278" s="145" t="e">
        <f>M18+M25+M28+M34+M37+M45+M51+M65+M68+M69+M71+M74+M79+M80+M81+M82+M83+M84+M85+M86+M87+M88+M94+M97+M98+M101+M102+M104+M107+M109+M163+M159+M168+M173+M177+M182+M189+M192+M196+M199+M204+M209+M211+M213+M215+M217+M219+M221+M223+M225+M227+M229+M231+M233+M235+M237+M239+M241+M243+M245+M247+M249+M251+M263+M265+M267</f>
        <v>#REF!</v>
      </c>
      <c r="N278" s="143"/>
      <c r="O278" s="145" t="e">
        <f>O18+O25+O28+O34+O37+O45+O51+O65+O68+O69+O71+O74+O79+O80+O81+O82+O83+O84+O85+O86+O87+O88+O94+O97+O98+O101+O102+O104+O107+O109+O163+O159+O168+O173+O177+O182+O189+O192+O196+O199+O204+O209+O211+O213+O215+O217+O219+O221+O223+O225+O227+O229+O231+O233+O235+O237+O239+O241+O243+O245+O247+O249+O251+O263+O265+O267</f>
        <v>#REF!</v>
      </c>
      <c r="P278" s="141"/>
      <c r="Q278" s="145" t="e">
        <f>Q18+Q23+Q25+Q28+Q34+Q37+Q45+Q51+Q65+Q68+Q69+Q71+Q74+Q79+Q80+#REF!+Q81+#REF!+Q82+#REF!+Q83+Q84+Q85+Q86+Q87+Q94+Q97+Q98+Q101+Q102+Q103+Q104+Q107+#REF!+Q109+Q159+Q163+Q168+Q173+Q177+Q182+Q189+Q192+Q196+Q204+Q209+Q211+Q213+Q221+Q223+#REF!+Q227+Q229+Q231+Q233+Q235+Q237+Q239+#REF!+Q215+Q217+Q219</f>
        <v>#REF!</v>
      </c>
      <c r="R278" s="141"/>
      <c r="S278" s="141"/>
      <c r="T278" s="141"/>
      <c r="U278" s="141"/>
      <c r="V278" s="141"/>
      <c r="W278" s="141"/>
      <c r="X278" s="141"/>
      <c r="Y278" s="145" t="e">
        <f>Y18+Y23+Y25+Y28+Y34+Y37+Y45+Y51+Y65+Y68+Y69+Y71+Y74+Y79+Y80+#REF!+Y81+#REF!+Y82+#REF!+Y83+Y84+Y85+Y86+Y87+Y94+Y97+Y98+Y101+Y102+Y103+Y104+Y107+#REF!+Y109+Y159+Y163+Y168+Y173+Y177+Y182+Y189+Y192+Y196+Y204+Y209+Y211+Y213+Y221+Y223+#REF!+Y227+Y229+Y231+Y233+Y235+Y237+Y239+#REF!+Y215+Y217+Y219</f>
        <v>#REF!</v>
      </c>
      <c r="Z278" s="141"/>
      <c r="AA278" s="141"/>
      <c r="AB278" s="141"/>
      <c r="AC278" s="141"/>
      <c r="AD278" s="141"/>
      <c r="AE278" s="141"/>
      <c r="AF278" s="141"/>
      <c r="AG278" s="145" t="e">
        <f>AG18+AG23+AG25+AG28+AG34+AG37+AG45+AG51+AG65+AG68+AG69+AG71+AG74+AG79+AG80+#REF!+AG81+#REF!+AG82+#REF!+AG83+AG84+AG85+AG86+AG87+AG94+AG97+AG98+AG101+AG102+AG103+AG104+AG107+#REF!+AG109+AG159+AG163+AG168+AG173+AG177+AG182+AG189+AG192+AG196+AG204+AG209+AG211+AG213+AG221+AG223+#REF!+AG227+AG229+AG231+AG233+AG235+AG237+AG239+#REF!+AG215+AG217+AG219</f>
        <v>#REF!</v>
      </c>
      <c r="AH278" s="141"/>
      <c r="AI278" s="141"/>
      <c r="AJ278" s="141"/>
      <c r="AK278" s="141"/>
      <c r="AL278" s="141"/>
      <c r="AM278" s="141"/>
      <c r="AN278" s="141"/>
      <c r="AO278" s="145" t="e">
        <f>AO18+AO23+AO25+AO28+AO34+AO37+AO45+AO51+AO65+AO68+AO69+AO71+AO74+AO79+AO80+#REF!+AO81+#REF!+AO82+#REF!+AO83+AO84+AO85+AO86+AO87+AO94+AO97+AO98+AO101+AO102+AO103+AO104+AO107+#REF!+AO109+AO159+AO163+AO168+AO173+AO177+AO182+AO189+AO192+AO196+AO204+AO209+AO211+AO213+AO221+AO223+#REF!+AO227+AO229+AO231+AO233+AO235+AO237+AO239+#REF!+AO215+AO217+AO219</f>
        <v>#REF!</v>
      </c>
    </row>
    <row r="279" spans="1:41" ht="18" customHeight="1">
      <c r="A279" s="276"/>
      <c r="B279" s="277"/>
      <c r="C279" s="277"/>
      <c r="D279" s="278"/>
      <c r="E279" s="125" t="s">
        <v>87</v>
      </c>
      <c r="F279" s="93">
        <f>F15+F21+F31+F63+F77+F91+F114+F140+F180+F254+F207+F186</f>
        <v>21875.74290123457</v>
      </c>
      <c r="G279" s="93" t="e">
        <f>G277+G278</f>
        <v>#REF!</v>
      </c>
      <c r="H279" s="138" t="e">
        <f>H15+H21+H31+H63+H77+H91+H114+H140+H180+H254+H207+H186</f>
        <v>#REF!</v>
      </c>
      <c r="I279" s="138" t="e">
        <f>I277+I278</f>
        <v>#REF!</v>
      </c>
      <c r="J279" s="136" t="e">
        <f t="shared" si="23"/>
        <v>#REF!</v>
      </c>
      <c r="K279" s="136" t="e">
        <f t="shared" si="23"/>
        <v>#REF!</v>
      </c>
      <c r="L279" s="138" t="e">
        <f>L15+L21+L31+L63+L77+L91+L114+L140+L180+L254+L207+L186</f>
        <v>#REF!</v>
      </c>
      <c r="M279" s="138" t="e">
        <f>M277+M278</f>
        <v>#REF!</v>
      </c>
      <c r="N279" s="143" t="e">
        <f>N15+N21+N31+N63+N77+N91+N114+N140+N180+N254+N207+N186</f>
        <v>#REF!</v>
      </c>
      <c r="O279" s="138" t="e">
        <f>O277+O278</f>
        <v>#REF!</v>
      </c>
      <c r="P279" s="138" t="e">
        <f>P15+P21+P31+P63+P77+P91+P114+P140+P180+P254+P207+P186</f>
        <v>#REF!</v>
      </c>
      <c r="Q279" s="138" t="e">
        <f>Q277+Q278</f>
        <v>#REF!</v>
      </c>
      <c r="R279" s="141"/>
      <c r="S279" s="141"/>
      <c r="T279" s="141"/>
      <c r="U279" s="141"/>
      <c r="V279" s="141"/>
      <c r="W279" s="141"/>
      <c r="X279" s="138">
        <f>X15+X21+X31+X63+X77+X91+X114+X140+X180+X254+X207+X186</f>
        <v>35793.293333333335</v>
      </c>
      <c r="Y279" s="138" t="e">
        <f>Y277+Y278</f>
        <v>#REF!</v>
      </c>
      <c r="Z279" s="141"/>
      <c r="AA279" s="141"/>
      <c r="AB279" s="141"/>
      <c r="AC279" s="141"/>
      <c r="AD279" s="141"/>
      <c r="AE279" s="141"/>
      <c r="AF279" s="138">
        <f>AF15+AF21+AF31+AF63+AF77+AF91+AF114+AF140+AF180+AF254+AF207+AF186</f>
        <v>36204.113333333335</v>
      </c>
      <c r="AG279" s="138" t="e">
        <f>AG277+AG278</f>
        <v>#REF!</v>
      </c>
      <c r="AH279" s="141"/>
      <c r="AI279" s="141"/>
      <c r="AJ279" s="141"/>
      <c r="AK279" s="141"/>
      <c r="AL279" s="141"/>
      <c r="AM279" s="141"/>
      <c r="AN279" s="138">
        <f>AN15+AN21+AN31+AN63+AN77+AN91+AN114+AN140+AN180+AN254+AN207+AN186</f>
        <v>32396.033333333333</v>
      </c>
      <c r="AO279" s="138" t="e">
        <f>AO277+AO278</f>
        <v>#REF!</v>
      </c>
    </row>
    <row r="280" spans="8:41" ht="16.5">
      <c r="H280" s="147"/>
      <c r="I280" s="147"/>
      <c r="J280" s="147"/>
      <c r="K280" s="147"/>
      <c r="L280" s="147"/>
      <c r="M280" s="147"/>
      <c r="N280" s="148"/>
      <c r="O280" s="148"/>
      <c r="P280" s="141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  <c r="AJ280" s="141"/>
      <c r="AK280" s="141"/>
      <c r="AL280" s="141"/>
      <c r="AM280" s="141"/>
      <c r="AN280" s="141"/>
      <c r="AO280" s="141"/>
    </row>
  </sheetData>
  <sheetProtection/>
  <mergeCells count="29">
    <mergeCell ref="AN13:AO13"/>
    <mergeCell ref="A274:D276"/>
    <mergeCell ref="A277:D279"/>
    <mergeCell ref="AB13:AC13"/>
    <mergeCell ref="AD13:AE13"/>
    <mergeCell ref="AF13:AG13"/>
    <mergeCell ref="AH13:AI13"/>
    <mergeCell ref="AJ13:AK13"/>
    <mergeCell ref="AL13:AM13"/>
    <mergeCell ref="P13:Q13"/>
    <mergeCell ref="R13:S13"/>
    <mergeCell ref="T13:U13"/>
    <mergeCell ref="V13:W13"/>
    <mergeCell ref="X13:Y13"/>
    <mergeCell ref="Z13:AA13"/>
    <mergeCell ref="B11:O11"/>
    <mergeCell ref="F12:M12"/>
    <mergeCell ref="A13:D13"/>
    <mergeCell ref="F13:G13"/>
    <mergeCell ref="H13:I13"/>
    <mergeCell ref="J13:K13"/>
    <mergeCell ref="L13:M13"/>
    <mergeCell ref="N13:O13"/>
    <mergeCell ref="F2:O2"/>
    <mergeCell ref="F3:O3"/>
    <mergeCell ref="F4:O4"/>
    <mergeCell ref="F5:O5"/>
    <mergeCell ref="F6:O6"/>
    <mergeCell ref="A8:O8"/>
  </mergeCells>
  <printOptions/>
  <pageMargins left="0.7086614173228347" right="0.3937007874015748" top="0.7480314960629921" bottom="0.7480314960629921" header="0.31496062992125984" footer="0.31496062992125984"/>
  <pageSetup horizontalDpi="600" verticalDpi="600" orientation="portrait" paperSize="9" scale="37" r:id="rId1"/>
  <rowBreaks count="1" manualBreakCount="1">
    <brk id="181" max="4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34"/>
  <sheetViews>
    <sheetView view="pageBreakPreview" zoomScale="85" zoomScaleNormal="75" zoomScaleSheetLayoutView="85" zoomScalePageLayoutView="0" workbookViewId="0" topLeftCell="A1">
      <pane xSplit="5" ySplit="14" topLeftCell="F157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L13" sqref="L13:O234"/>
    </sheetView>
  </sheetViews>
  <sheetFormatPr defaultColWidth="9.140625" defaultRowHeight="12.75"/>
  <cols>
    <col min="1" max="1" width="9.140625" style="22" customWidth="1"/>
    <col min="2" max="2" width="3.7109375" style="41" customWidth="1"/>
    <col min="3" max="3" width="4.28125" style="41" customWidth="1"/>
    <col min="4" max="4" width="7.00390625" style="41" customWidth="1"/>
    <col min="5" max="5" width="82.28125" style="22" customWidth="1"/>
    <col min="6" max="7" width="16.7109375" style="22" hidden="1" customWidth="1"/>
    <col min="8" max="13" width="16.7109375" style="22" customWidth="1"/>
    <col min="14" max="15" width="16.7109375" style="29" customWidth="1"/>
    <col min="16" max="16" width="9.140625" style="22" customWidth="1"/>
    <col min="17" max="17" width="37.8515625" style="22" customWidth="1"/>
    <col min="18" max="16384" width="9.140625" style="22" customWidth="1"/>
  </cols>
  <sheetData>
    <row r="1" spans="4:15" ht="15" customHeight="1">
      <c r="D1" s="22"/>
      <c r="O1" s="22"/>
    </row>
    <row r="2" spans="2:15" ht="15" customHeight="1">
      <c r="B2" s="42"/>
      <c r="C2" s="42"/>
      <c r="D2" s="42"/>
      <c r="E2" s="42"/>
      <c r="F2" s="309" t="s">
        <v>197</v>
      </c>
      <c r="G2" s="310"/>
      <c r="H2" s="310"/>
      <c r="I2" s="310"/>
      <c r="J2" s="310"/>
      <c r="K2" s="310"/>
      <c r="L2" s="310"/>
      <c r="M2" s="310"/>
      <c r="N2" s="310"/>
      <c r="O2" s="310"/>
    </row>
    <row r="3" spans="2:15" ht="15" customHeight="1">
      <c r="B3" s="71"/>
      <c r="C3" s="71"/>
      <c r="D3" s="71"/>
      <c r="E3" s="71"/>
      <c r="F3" s="311" t="s">
        <v>198</v>
      </c>
      <c r="G3" s="311"/>
      <c r="H3" s="311"/>
      <c r="I3" s="311"/>
      <c r="J3" s="311"/>
      <c r="K3" s="311"/>
      <c r="L3" s="311"/>
      <c r="M3" s="311"/>
      <c r="N3" s="311"/>
      <c r="O3" s="311"/>
    </row>
    <row r="4" spans="2:15" ht="15" customHeight="1">
      <c r="B4" s="42"/>
      <c r="C4" s="42"/>
      <c r="D4" s="42"/>
      <c r="E4" s="42"/>
      <c r="F4" s="311" t="s">
        <v>199</v>
      </c>
      <c r="G4" s="311"/>
      <c r="H4" s="311"/>
      <c r="I4" s="311"/>
      <c r="J4" s="311"/>
      <c r="K4" s="311"/>
      <c r="L4" s="311"/>
      <c r="M4" s="311"/>
      <c r="N4" s="311"/>
      <c r="O4" s="311"/>
    </row>
    <row r="5" spans="2:15" ht="15" customHeight="1">
      <c r="B5" s="43"/>
      <c r="C5" s="43"/>
      <c r="D5" s="43"/>
      <c r="E5" s="43"/>
      <c r="F5" s="311" t="s">
        <v>200</v>
      </c>
      <c r="G5" s="311"/>
      <c r="H5" s="311"/>
      <c r="I5" s="311"/>
      <c r="J5" s="311"/>
      <c r="K5" s="311"/>
      <c r="L5" s="311"/>
      <c r="M5" s="311"/>
      <c r="N5" s="311"/>
      <c r="O5" s="311"/>
    </row>
    <row r="6" spans="2:15" ht="15" customHeight="1">
      <c r="B6" s="71"/>
      <c r="C6" s="71"/>
      <c r="D6" s="71"/>
      <c r="E6" s="71"/>
      <c r="F6" s="311" t="s">
        <v>201</v>
      </c>
      <c r="G6" s="311"/>
      <c r="H6" s="311"/>
      <c r="I6" s="311"/>
      <c r="J6" s="311"/>
      <c r="K6" s="311"/>
      <c r="L6" s="311"/>
      <c r="M6" s="311"/>
      <c r="N6" s="311"/>
      <c r="O6" s="311"/>
    </row>
    <row r="7" spans="2:14" ht="15" customHeight="1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83"/>
    </row>
    <row r="8" spans="1:15" ht="15" customHeight="1">
      <c r="A8" s="282" t="s">
        <v>196</v>
      </c>
      <c r="B8" s="282"/>
      <c r="C8" s="282"/>
      <c r="D8" s="282"/>
      <c r="E8" s="282"/>
      <c r="F8" s="282"/>
      <c r="G8" s="282"/>
      <c r="H8" s="282"/>
      <c r="I8" s="282"/>
      <c r="J8" s="282"/>
      <c r="K8" s="282"/>
      <c r="L8" s="282"/>
      <c r="M8" s="282"/>
      <c r="N8" s="282"/>
      <c r="O8" s="282"/>
    </row>
    <row r="9" spans="2:15" ht="15" customHeight="1">
      <c r="B9" s="43"/>
      <c r="C9" s="43"/>
      <c r="D9" s="43"/>
      <c r="E9" s="43"/>
      <c r="F9" s="43"/>
      <c r="G9" s="43"/>
      <c r="H9" s="43"/>
      <c r="I9" s="43"/>
      <c r="J9" s="43"/>
      <c r="K9" s="43"/>
      <c r="M9" s="43"/>
      <c r="N9" s="48"/>
      <c r="O9" s="43"/>
    </row>
    <row r="10" spans="2:15" ht="15" customHeight="1"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/>
      <c r="O10" s="49"/>
    </row>
    <row r="11" spans="2:15" ht="15" customHeight="1">
      <c r="B11" s="285" t="s">
        <v>3</v>
      </c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</row>
    <row r="12" spans="2:15" ht="15" customHeight="1">
      <c r="B12" s="30"/>
      <c r="C12" s="30"/>
      <c r="D12" s="30"/>
      <c r="E12" s="48"/>
      <c r="F12" s="284"/>
      <c r="G12" s="284"/>
      <c r="H12" s="284"/>
      <c r="I12" s="284"/>
      <c r="J12" s="284"/>
      <c r="K12" s="284"/>
      <c r="L12" s="284"/>
      <c r="M12" s="284"/>
      <c r="N12" s="50" t="s">
        <v>173</v>
      </c>
      <c r="O12" s="48"/>
    </row>
    <row r="13" spans="1:15" ht="18" customHeight="1">
      <c r="A13" s="283" t="s">
        <v>0</v>
      </c>
      <c r="B13" s="283"/>
      <c r="C13" s="283"/>
      <c r="D13" s="283"/>
      <c r="E13" s="303" t="s">
        <v>1</v>
      </c>
      <c r="F13" s="281">
        <v>2016</v>
      </c>
      <c r="G13" s="280"/>
      <c r="H13" s="307" t="s">
        <v>211</v>
      </c>
      <c r="I13" s="308"/>
      <c r="J13" s="281" t="s">
        <v>212</v>
      </c>
      <c r="K13" s="280"/>
      <c r="L13" s="281">
        <v>2017</v>
      </c>
      <c r="M13" s="280"/>
      <c r="N13" s="281">
        <v>2018</v>
      </c>
      <c r="O13" s="280"/>
    </row>
    <row r="14" spans="1:16" s="44" customFormat="1" ht="18" customHeight="1">
      <c r="A14" s="81" t="s">
        <v>73</v>
      </c>
      <c r="B14" s="305" t="s">
        <v>74</v>
      </c>
      <c r="C14" s="306"/>
      <c r="D14" s="33" t="s">
        <v>75</v>
      </c>
      <c r="E14" s="304"/>
      <c r="F14" s="82" t="s">
        <v>104</v>
      </c>
      <c r="G14" s="82" t="s">
        <v>26</v>
      </c>
      <c r="H14" s="101" t="s">
        <v>104</v>
      </c>
      <c r="I14" s="101" t="s">
        <v>26</v>
      </c>
      <c r="J14" s="86" t="s">
        <v>213</v>
      </c>
      <c r="K14" s="86" t="s">
        <v>214</v>
      </c>
      <c r="L14" s="82" t="s">
        <v>104</v>
      </c>
      <c r="M14" s="82" t="s">
        <v>26</v>
      </c>
      <c r="N14" s="82" t="s">
        <v>104</v>
      </c>
      <c r="O14" s="82" t="s">
        <v>26</v>
      </c>
      <c r="P14" s="44" t="s">
        <v>209</v>
      </c>
    </row>
    <row r="15" spans="1:15" s="44" customFormat="1" ht="18" customHeight="1">
      <c r="A15" s="35"/>
      <c r="B15" s="36"/>
      <c r="C15" s="36"/>
      <c r="D15" s="36"/>
      <c r="E15" s="78" t="s">
        <v>91</v>
      </c>
      <c r="F15" s="74">
        <f aca="true" t="shared" si="0" ref="F15:O15">F16</f>
        <v>0</v>
      </c>
      <c r="G15" s="74">
        <f t="shared" si="0"/>
        <v>0</v>
      </c>
      <c r="H15" s="102">
        <f t="shared" si="0"/>
        <v>0</v>
      </c>
      <c r="I15" s="102">
        <f t="shared" si="0"/>
        <v>0</v>
      </c>
      <c r="J15" s="74">
        <f>H15-F15</f>
        <v>0</v>
      </c>
      <c r="K15" s="74">
        <f>I15-G15</f>
        <v>0</v>
      </c>
      <c r="L15" s="74">
        <f t="shared" si="0"/>
        <v>30960</v>
      </c>
      <c r="M15" s="74" t="e">
        <f t="shared" si="0"/>
        <v>#REF!</v>
      </c>
      <c r="N15" s="74">
        <f t="shared" si="0"/>
        <v>60000</v>
      </c>
      <c r="O15" s="74" t="e">
        <f t="shared" si="0"/>
        <v>#REF!</v>
      </c>
    </row>
    <row r="16" spans="1:15" s="44" customFormat="1" ht="18" customHeight="1">
      <c r="A16" s="35"/>
      <c r="B16" s="36"/>
      <c r="C16" s="36"/>
      <c r="D16" s="36"/>
      <c r="E16" s="79" t="s">
        <v>3</v>
      </c>
      <c r="F16" s="69">
        <f aca="true" t="shared" si="1" ref="F16:O16">SUM(F17:F19)</f>
        <v>0</v>
      </c>
      <c r="G16" s="69">
        <f t="shared" si="1"/>
        <v>0</v>
      </c>
      <c r="H16" s="103">
        <f>SUM(H17:H19)</f>
        <v>0</v>
      </c>
      <c r="I16" s="103">
        <f>SUM(I17:I19)</f>
        <v>0</v>
      </c>
      <c r="J16" s="74">
        <f aca="true" t="shared" si="2" ref="J16:J111">H16-F16</f>
        <v>0</v>
      </c>
      <c r="K16" s="74">
        <f aca="true" t="shared" si="3" ref="K16:K111">I16-G16</f>
        <v>0</v>
      </c>
      <c r="L16" s="69">
        <f t="shared" si="1"/>
        <v>30960</v>
      </c>
      <c r="M16" s="69" t="e">
        <f t="shared" si="1"/>
        <v>#REF!</v>
      </c>
      <c r="N16" s="69">
        <f>SUM(N17:N19)</f>
        <v>60000</v>
      </c>
      <c r="O16" s="69" t="e">
        <f t="shared" si="1"/>
        <v>#REF!</v>
      </c>
    </row>
    <row r="17" spans="1:15" s="44" customFormat="1" ht="18" customHeight="1">
      <c r="A17" s="22">
        <v>3111</v>
      </c>
      <c r="B17" s="36">
        <v>22</v>
      </c>
      <c r="C17" s="36">
        <v>910</v>
      </c>
      <c r="D17" s="45">
        <v>70169</v>
      </c>
      <c r="E17" s="20" t="s">
        <v>88</v>
      </c>
      <c r="F17" s="17"/>
      <c r="G17" s="17"/>
      <c r="H17" s="104"/>
      <c r="I17" s="104"/>
      <c r="J17" s="74">
        <f t="shared" si="2"/>
        <v>0</v>
      </c>
      <c r="K17" s="74">
        <f t="shared" si="3"/>
        <v>0</v>
      </c>
      <c r="L17" s="17">
        <v>30960</v>
      </c>
      <c r="M17" s="17"/>
      <c r="N17" s="17">
        <v>60000</v>
      </c>
      <c r="O17" s="17"/>
    </row>
    <row r="18" spans="1:15" s="44" customFormat="1" ht="18" customHeight="1">
      <c r="A18" s="22">
        <v>3111</v>
      </c>
      <c r="B18" s="36">
        <v>22</v>
      </c>
      <c r="C18" s="36">
        <v>920</v>
      </c>
      <c r="D18" s="45">
        <v>70169</v>
      </c>
      <c r="E18" s="116" t="s">
        <v>89</v>
      </c>
      <c r="F18" s="17"/>
      <c r="G18" s="17"/>
      <c r="H18" s="104"/>
      <c r="I18" s="104"/>
      <c r="J18" s="74">
        <f t="shared" si="2"/>
        <v>0</v>
      </c>
      <c r="K18" s="74">
        <f t="shared" si="3"/>
        <v>0</v>
      </c>
      <c r="L18" s="17"/>
      <c r="M18" s="17" t="e">
        <f>'USD 19-21'!#REF!*69.2</f>
        <v>#REF!</v>
      </c>
      <c r="N18" s="17"/>
      <c r="O18" s="17" t="e">
        <f>'USD 19-21'!#REF!*72.4</f>
        <v>#REF!</v>
      </c>
    </row>
    <row r="19" spans="1:15" s="44" customFormat="1" ht="18" customHeight="1">
      <c r="A19" s="22">
        <v>3111</v>
      </c>
      <c r="B19" s="36">
        <v>22</v>
      </c>
      <c r="C19" s="36">
        <v>930</v>
      </c>
      <c r="D19" s="45">
        <v>70169</v>
      </c>
      <c r="E19" s="20" t="s">
        <v>90</v>
      </c>
      <c r="F19" s="17"/>
      <c r="G19" s="17"/>
      <c r="H19" s="104"/>
      <c r="I19" s="104"/>
      <c r="J19" s="74">
        <f t="shared" si="2"/>
        <v>0</v>
      </c>
      <c r="K19" s="74">
        <f t="shared" si="3"/>
        <v>0</v>
      </c>
      <c r="L19" s="17"/>
      <c r="M19" s="17" t="e">
        <f>'USD 19-21'!#REF!*69.2</f>
        <v>#REF!</v>
      </c>
      <c r="N19" s="17"/>
      <c r="O19" s="17" t="e">
        <f>'USD 19-21'!#REF!*72.4</f>
        <v>#REF!</v>
      </c>
    </row>
    <row r="20" spans="1:15" s="44" customFormat="1" ht="18" customHeight="1">
      <c r="A20" s="35"/>
      <c r="B20" s="31"/>
      <c r="C20" s="32"/>
      <c r="D20" s="33"/>
      <c r="E20" s="34"/>
      <c r="F20" s="38"/>
      <c r="G20" s="38"/>
      <c r="H20" s="105"/>
      <c r="I20" s="105"/>
      <c r="J20" s="74">
        <f t="shared" si="2"/>
        <v>0</v>
      </c>
      <c r="K20" s="74">
        <f t="shared" si="3"/>
        <v>0</v>
      </c>
      <c r="L20" s="37"/>
      <c r="M20" s="38"/>
      <c r="N20" s="39"/>
      <c r="O20" s="39"/>
    </row>
    <row r="21" spans="2:15" ht="18" customHeight="1">
      <c r="B21" s="36"/>
      <c r="C21" s="36"/>
      <c r="D21" s="36"/>
      <c r="E21" s="78" t="s">
        <v>2</v>
      </c>
      <c r="F21" s="74">
        <f aca="true" t="shared" si="4" ref="F21:O21">F22</f>
        <v>162845.8</v>
      </c>
      <c r="G21" s="74" t="e">
        <f t="shared" si="4"/>
        <v>#REF!</v>
      </c>
      <c r="H21" s="102">
        <f t="shared" si="4"/>
        <v>100000</v>
      </c>
      <c r="I21" s="102" t="e">
        <f t="shared" si="4"/>
        <v>#REF!</v>
      </c>
      <c r="J21" s="74">
        <f t="shared" si="2"/>
        <v>-62845.79999999999</v>
      </c>
      <c r="K21" s="74" t="e">
        <f t="shared" si="3"/>
        <v>#REF!</v>
      </c>
      <c r="L21" s="74">
        <f t="shared" si="4"/>
        <v>170600</v>
      </c>
      <c r="M21" s="74" t="e">
        <f t="shared" si="4"/>
        <v>#REF!</v>
      </c>
      <c r="N21" s="74">
        <f t="shared" si="4"/>
        <v>189034</v>
      </c>
      <c r="O21" s="74" t="e">
        <f t="shared" si="4"/>
        <v>#REF!</v>
      </c>
    </row>
    <row r="22" spans="2:15" ht="18" customHeight="1">
      <c r="B22" s="36"/>
      <c r="C22" s="36"/>
      <c r="D22" s="36"/>
      <c r="E22" s="79" t="s">
        <v>3</v>
      </c>
      <c r="F22" s="69">
        <f aca="true" t="shared" si="5" ref="F22:O22">SUM(F23:F29)</f>
        <v>162845.8</v>
      </c>
      <c r="G22" s="69" t="e">
        <f t="shared" si="5"/>
        <v>#REF!</v>
      </c>
      <c r="H22" s="103">
        <f>SUM(H23:H29)</f>
        <v>100000</v>
      </c>
      <c r="I22" s="103" t="e">
        <f>SUM(I23:I29)</f>
        <v>#REF!</v>
      </c>
      <c r="J22" s="74">
        <f t="shared" si="2"/>
        <v>-62845.79999999999</v>
      </c>
      <c r="K22" s="74" t="e">
        <f t="shared" si="3"/>
        <v>#REF!</v>
      </c>
      <c r="L22" s="69">
        <f t="shared" si="5"/>
        <v>170600</v>
      </c>
      <c r="M22" s="69" t="e">
        <f t="shared" si="5"/>
        <v>#REF!</v>
      </c>
      <c r="N22" s="69">
        <f t="shared" si="5"/>
        <v>189034</v>
      </c>
      <c r="O22" s="69" t="e">
        <f t="shared" si="5"/>
        <v>#REF!</v>
      </c>
    </row>
    <row r="23" spans="1:15" ht="16.5">
      <c r="A23" s="22">
        <v>3111</v>
      </c>
      <c r="B23" s="36">
        <v>25</v>
      </c>
      <c r="C23" s="36">
        <v>920</v>
      </c>
      <c r="D23" s="45">
        <v>70499</v>
      </c>
      <c r="E23" s="20" t="s">
        <v>149</v>
      </c>
      <c r="F23" s="10"/>
      <c r="G23" s="10" t="e">
        <f>'USD 19-21'!#REF!*64.8</f>
        <v>#REF!</v>
      </c>
      <c r="H23" s="104"/>
      <c r="I23" s="104" t="e">
        <f>'USD 19-21'!#REF!*64.8</f>
        <v>#REF!</v>
      </c>
      <c r="J23" s="93">
        <f t="shared" si="2"/>
        <v>0</v>
      </c>
      <c r="K23" s="93" t="e">
        <f t="shared" si="3"/>
        <v>#REF!</v>
      </c>
      <c r="L23" s="10"/>
      <c r="M23" s="10"/>
      <c r="N23" s="11"/>
      <c r="O23" s="11"/>
    </row>
    <row r="24" spans="1:16" ht="16.5">
      <c r="A24" s="22">
        <v>3111</v>
      </c>
      <c r="B24" s="36">
        <v>25</v>
      </c>
      <c r="C24" s="36">
        <v>910</v>
      </c>
      <c r="D24" s="45">
        <v>70499</v>
      </c>
      <c r="E24" s="9" t="s">
        <v>4</v>
      </c>
      <c r="F24" s="10">
        <v>162845.8</v>
      </c>
      <c r="G24" s="10"/>
      <c r="H24" s="104">
        <v>100000</v>
      </c>
      <c r="I24" s="104"/>
      <c r="J24" s="93">
        <f t="shared" si="2"/>
        <v>-62845.79999999999</v>
      </c>
      <c r="K24" s="93">
        <f t="shared" si="3"/>
        <v>0</v>
      </c>
      <c r="L24" s="10">
        <v>85000</v>
      </c>
      <c r="M24" s="10"/>
      <c r="N24" s="11">
        <v>139034</v>
      </c>
      <c r="O24" s="11"/>
      <c r="P24" s="22">
        <v>161188.2</v>
      </c>
    </row>
    <row r="25" spans="1:15" ht="16.5">
      <c r="A25" s="22">
        <v>3111</v>
      </c>
      <c r="B25" s="36">
        <v>25</v>
      </c>
      <c r="C25" s="36">
        <v>920</v>
      </c>
      <c r="D25" s="45">
        <v>70499</v>
      </c>
      <c r="E25" s="116" t="s">
        <v>5</v>
      </c>
      <c r="F25" s="10"/>
      <c r="G25" s="10" t="e">
        <f>'USD 19-21'!#REF!*64.8</f>
        <v>#REF!</v>
      </c>
      <c r="H25" s="104"/>
      <c r="I25" s="104">
        <f>'USD 19-21'!J20*64.8</f>
        <v>0</v>
      </c>
      <c r="J25" s="93">
        <f t="shared" si="2"/>
        <v>0</v>
      </c>
      <c r="K25" s="93" t="e">
        <f t="shared" si="3"/>
        <v>#REF!</v>
      </c>
      <c r="L25" s="10"/>
      <c r="M25" s="10"/>
      <c r="N25" s="11"/>
      <c r="O25" s="11"/>
    </row>
    <row r="26" spans="1:15" ht="16.5">
      <c r="A26" s="22">
        <v>3111</v>
      </c>
      <c r="B26" s="36">
        <v>25</v>
      </c>
      <c r="C26" s="36">
        <v>930</v>
      </c>
      <c r="D26" s="45">
        <v>70499</v>
      </c>
      <c r="E26" s="113" t="s">
        <v>6</v>
      </c>
      <c r="F26" s="10"/>
      <c r="G26" s="10" t="e">
        <f>'USD 19-21'!#REF!*64.8</f>
        <v>#REF!</v>
      </c>
      <c r="H26" s="104"/>
      <c r="I26" s="60">
        <f>'USD 19-21'!J21*64.8</f>
        <v>8748</v>
      </c>
      <c r="J26" s="93">
        <f t="shared" si="2"/>
        <v>0</v>
      </c>
      <c r="K26" s="93" t="e">
        <f t="shared" si="3"/>
        <v>#REF!</v>
      </c>
      <c r="L26" s="10"/>
      <c r="M26" s="10"/>
      <c r="N26" s="11"/>
      <c r="O26" s="11"/>
    </row>
    <row r="27" spans="1:15" ht="16.5">
      <c r="A27" s="22">
        <v>3111</v>
      </c>
      <c r="B27" s="36">
        <v>25</v>
      </c>
      <c r="C27" s="36">
        <v>910</v>
      </c>
      <c r="D27" s="45">
        <v>70499</v>
      </c>
      <c r="E27" s="20" t="s">
        <v>33</v>
      </c>
      <c r="F27" s="10"/>
      <c r="G27" s="10"/>
      <c r="H27" s="104"/>
      <c r="I27" s="104"/>
      <c r="J27" s="93">
        <f t="shared" si="2"/>
        <v>0</v>
      </c>
      <c r="K27" s="93">
        <f t="shared" si="3"/>
        <v>0</v>
      </c>
      <c r="L27" s="10">
        <v>85600</v>
      </c>
      <c r="M27" s="10"/>
      <c r="N27" s="10">
        <v>50000</v>
      </c>
      <c r="O27" s="11"/>
    </row>
    <row r="28" spans="1:15" ht="16.5">
      <c r="A28" s="22">
        <v>3111</v>
      </c>
      <c r="B28" s="36">
        <v>25</v>
      </c>
      <c r="C28" s="36">
        <v>920</v>
      </c>
      <c r="D28" s="45">
        <v>70499</v>
      </c>
      <c r="E28" s="116" t="s">
        <v>34</v>
      </c>
      <c r="F28" s="10"/>
      <c r="G28" s="10"/>
      <c r="H28" s="104"/>
      <c r="I28" s="104"/>
      <c r="J28" s="93">
        <f t="shared" si="2"/>
        <v>0</v>
      </c>
      <c r="K28" s="93">
        <f t="shared" si="3"/>
        <v>0</v>
      </c>
      <c r="L28" s="10"/>
      <c r="M28" s="10" t="e">
        <f>'USD 19-21'!#REF!*69.2</f>
        <v>#REF!</v>
      </c>
      <c r="N28" s="11"/>
      <c r="O28" s="10"/>
    </row>
    <row r="29" spans="1:15" ht="16.5">
      <c r="A29" s="22">
        <v>3111</v>
      </c>
      <c r="B29" s="36">
        <v>25</v>
      </c>
      <c r="C29" s="36">
        <v>930</v>
      </c>
      <c r="D29" s="45">
        <v>70499</v>
      </c>
      <c r="E29" s="113" t="s">
        <v>35</v>
      </c>
      <c r="F29" s="10"/>
      <c r="G29" s="10"/>
      <c r="H29" s="104"/>
      <c r="I29" s="104"/>
      <c r="J29" s="93">
        <f t="shared" si="2"/>
        <v>0</v>
      </c>
      <c r="K29" s="93">
        <f t="shared" si="3"/>
        <v>0</v>
      </c>
      <c r="L29" s="10"/>
      <c r="M29" s="10" t="e">
        <f>'USD 19-21'!#REF!*69.2</f>
        <v>#REF!</v>
      </c>
      <c r="N29" s="11"/>
      <c r="O29" s="10" t="e">
        <f>'USD 19-21'!#REF!*72.4</f>
        <v>#REF!</v>
      </c>
    </row>
    <row r="30" spans="2:15" ht="18" customHeight="1">
      <c r="B30" s="36"/>
      <c r="C30" s="36"/>
      <c r="D30" s="40"/>
      <c r="E30" s="20"/>
      <c r="F30" s="10"/>
      <c r="G30" s="10"/>
      <c r="H30" s="104"/>
      <c r="I30" s="104"/>
      <c r="J30" s="93">
        <f t="shared" si="2"/>
        <v>0</v>
      </c>
      <c r="K30" s="93">
        <f t="shared" si="3"/>
        <v>0</v>
      </c>
      <c r="L30" s="10"/>
      <c r="M30" s="10"/>
      <c r="N30" s="11"/>
      <c r="O30" s="11"/>
    </row>
    <row r="31" spans="2:15" ht="18" customHeight="1">
      <c r="B31" s="36"/>
      <c r="C31" s="36"/>
      <c r="D31" s="36"/>
      <c r="E31" s="117" t="s">
        <v>41</v>
      </c>
      <c r="F31" s="93">
        <f aca="true" t="shared" si="6" ref="F31:O31">F32</f>
        <v>34998.1</v>
      </c>
      <c r="G31" s="93" t="e">
        <f t="shared" si="6"/>
        <v>#REF!</v>
      </c>
      <c r="H31" s="102">
        <f t="shared" si="6"/>
        <v>22971.3</v>
      </c>
      <c r="I31" s="102" t="e">
        <f t="shared" si="6"/>
        <v>#REF!</v>
      </c>
      <c r="J31" s="93">
        <f t="shared" si="2"/>
        <v>-12026.8</v>
      </c>
      <c r="K31" s="93" t="e">
        <f t="shared" si="3"/>
        <v>#REF!</v>
      </c>
      <c r="L31" s="93">
        <f t="shared" si="6"/>
        <v>45055</v>
      </c>
      <c r="M31" s="93" t="e">
        <f t="shared" si="6"/>
        <v>#REF!</v>
      </c>
      <c r="N31" s="93">
        <f t="shared" si="6"/>
        <v>30833.1</v>
      </c>
      <c r="O31" s="93" t="e">
        <f t="shared" si="6"/>
        <v>#REF!</v>
      </c>
    </row>
    <row r="32" spans="2:15" ht="18" customHeight="1">
      <c r="B32" s="36"/>
      <c r="C32" s="36"/>
      <c r="D32" s="36"/>
      <c r="E32" s="79" t="s">
        <v>3</v>
      </c>
      <c r="F32" s="94">
        <f>SUM(F33:F60)</f>
        <v>34998.1</v>
      </c>
      <c r="G32" s="94" t="e">
        <f>SUM(G33:G60)</f>
        <v>#REF!</v>
      </c>
      <c r="H32" s="103">
        <f>SUM(H33:H60)</f>
        <v>22971.3</v>
      </c>
      <c r="I32" s="103" t="e">
        <f>SUM(I33:I60)</f>
        <v>#REF!</v>
      </c>
      <c r="J32" s="93">
        <f t="shared" si="2"/>
        <v>-12026.8</v>
      </c>
      <c r="K32" s="93" t="e">
        <f t="shared" si="3"/>
        <v>#REF!</v>
      </c>
      <c r="L32" s="94">
        <f>SUM(L33:L60)</f>
        <v>45055</v>
      </c>
      <c r="M32" s="94" t="e">
        <f>SUM(M33:M60)</f>
        <v>#REF!</v>
      </c>
      <c r="N32" s="94">
        <f>SUM(N33:N60)</f>
        <v>30833.1</v>
      </c>
      <c r="O32" s="94" t="e">
        <f>SUM(O33:O60)</f>
        <v>#REF!</v>
      </c>
    </row>
    <row r="33" spans="1:15" ht="18" customHeight="1">
      <c r="A33" s="22">
        <v>3111</v>
      </c>
      <c r="B33" s="36">
        <v>28</v>
      </c>
      <c r="C33" s="36">
        <v>910</v>
      </c>
      <c r="D33" s="45">
        <v>70499</v>
      </c>
      <c r="E33" s="19" t="s">
        <v>102</v>
      </c>
      <c r="F33" s="10">
        <v>29648.1</v>
      </c>
      <c r="G33" s="10"/>
      <c r="H33" s="104">
        <v>17971.3</v>
      </c>
      <c r="I33" s="104"/>
      <c r="J33" s="93">
        <f t="shared" si="2"/>
        <v>-11676.8</v>
      </c>
      <c r="K33" s="93">
        <f t="shared" si="3"/>
        <v>0</v>
      </c>
      <c r="L33" s="10">
        <v>38005</v>
      </c>
      <c r="M33" s="10"/>
      <c r="N33" s="10">
        <v>20833.1</v>
      </c>
      <c r="O33" s="11"/>
    </row>
    <row r="34" spans="1:15" ht="18" customHeight="1">
      <c r="A34" s="22">
        <v>3111</v>
      </c>
      <c r="B34" s="36">
        <v>28</v>
      </c>
      <c r="C34" s="36">
        <v>920</v>
      </c>
      <c r="D34" s="45">
        <v>70499</v>
      </c>
      <c r="E34" s="118" t="s">
        <v>101</v>
      </c>
      <c r="F34" s="10"/>
      <c r="G34" s="10" t="e">
        <f>'USD 19-21'!#REF!*64.8</f>
        <v>#REF!</v>
      </c>
      <c r="H34" s="104"/>
      <c r="I34" s="104">
        <f>'USD 19-21'!J27*64.8</f>
        <v>21779.28</v>
      </c>
      <c r="J34" s="93">
        <f t="shared" si="2"/>
        <v>0</v>
      </c>
      <c r="K34" s="93" t="e">
        <f t="shared" si="3"/>
        <v>#REF!</v>
      </c>
      <c r="L34" s="10"/>
      <c r="M34" s="10">
        <f>'USD 19-21'!L27*69.2</f>
        <v>0</v>
      </c>
      <c r="N34" s="11"/>
      <c r="O34" s="10">
        <f>'USD 19-21'!N27*72.4</f>
        <v>0</v>
      </c>
    </row>
    <row r="35" spans="1:15" ht="18" customHeight="1">
      <c r="A35" s="22">
        <v>3111</v>
      </c>
      <c r="B35" s="36">
        <v>28</v>
      </c>
      <c r="C35" s="36">
        <v>930</v>
      </c>
      <c r="D35" s="45">
        <v>70499</v>
      </c>
      <c r="E35" s="112" t="s">
        <v>100</v>
      </c>
      <c r="F35" s="10"/>
      <c r="G35" s="10" t="e">
        <f>'USD 19-21'!#REF!*64.8</f>
        <v>#REF!</v>
      </c>
      <c r="H35" s="104"/>
      <c r="I35" s="60">
        <f>'USD 19-21'!J28*64.8</f>
        <v>64800</v>
      </c>
      <c r="J35" s="93">
        <f t="shared" si="2"/>
        <v>0</v>
      </c>
      <c r="K35" s="93" t="e">
        <f t="shared" si="3"/>
        <v>#REF!</v>
      </c>
      <c r="L35" s="10"/>
      <c r="M35" s="10">
        <f>'USD 19-21'!L28*69.2</f>
        <v>0</v>
      </c>
      <c r="N35" s="11"/>
      <c r="O35" s="10">
        <f>'USD 19-21'!N28*72.4</f>
        <v>0</v>
      </c>
    </row>
    <row r="36" spans="1:16" ht="18" customHeight="1">
      <c r="A36" s="22">
        <v>3111</v>
      </c>
      <c r="B36" s="36">
        <v>28</v>
      </c>
      <c r="C36" s="36">
        <v>910</v>
      </c>
      <c r="D36" s="45">
        <v>70499</v>
      </c>
      <c r="E36" s="118" t="s">
        <v>108</v>
      </c>
      <c r="F36" s="10">
        <v>1350</v>
      </c>
      <c r="G36" s="10"/>
      <c r="H36" s="104">
        <v>1000</v>
      </c>
      <c r="I36" s="104"/>
      <c r="J36" s="93">
        <f t="shared" si="2"/>
        <v>-350</v>
      </c>
      <c r="K36" s="93">
        <f t="shared" si="3"/>
        <v>0</v>
      </c>
      <c r="L36" s="10">
        <v>550</v>
      </c>
      <c r="M36" s="10"/>
      <c r="N36" s="10"/>
      <c r="O36" s="11"/>
      <c r="P36" s="22">
        <f>-350-450</f>
        <v>-800</v>
      </c>
    </row>
    <row r="37" spans="1:15" ht="18" customHeight="1">
      <c r="A37" s="22">
        <v>3111</v>
      </c>
      <c r="B37" s="36">
        <v>28</v>
      </c>
      <c r="C37" s="36">
        <v>920</v>
      </c>
      <c r="D37" s="45">
        <v>70499</v>
      </c>
      <c r="E37" s="118" t="s">
        <v>107</v>
      </c>
      <c r="F37" s="10"/>
      <c r="G37" s="10" t="e">
        <f>'USD 19-21'!#REF!*64.8</f>
        <v>#REF!</v>
      </c>
      <c r="H37" s="104"/>
      <c r="I37" s="104" t="e">
        <f>'USD 19-21'!#REF!*64.8</f>
        <v>#REF!</v>
      </c>
      <c r="J37" s="93">
        <f t="shared" si="2"/>
        <v>0</v>
      </c>
      <c r="K37" s="93" t="e">
        <f t="shared" si="3"/>
        <v>#REF!</v>
      </c>
      <c r="L37" s="10"/>
      <c r="M37" s="10" t="e">
        <f>'USD 19-21'!#REF!*69.2</f>
        <v>#REF!</v>
      </c>
      <c r="N37" s="11"/>
      <c r="O37" s="11"/>
    </row>
    <row r="38" spans="1:15" ht="18" customHeight="1">
      <c r="A38" s="22">
        <v>3214</v>
      </c>
      <c r="B38" s="36">
        <v>42</v>
      </c>
      <c r="C38" s="36">
        <v>920</v>
      </c>
      <c r="D38" s="45">
        <v>70499</v>
      </c>
      <c r="E38" s="118" t="s">
        <v>9</v>
      </c>
      <c r="F38" s="10"/>
      <c r="G38" s="10" t="e">
        <f>'USD 19-21'!#REF!*64.8</f>
        <v>#REF!</v>
      </c>
      <c r="H38" s="104"/>
      <c r="I38" s="104" t="e">
        <f>'USD 19-21'!#REF!*64.8</f>
        <v>#REF!</v>
      </c>
      <c r="J38" s="93">
        <f aca="true" t="shared" si="7" ref="J38:J60">H38-F38</f>
        <v>0</v>
      </c>
      <c r="K38" s="93" t="e">
        <f t="shared" si="3"/>
        <v>#REF!</v>
      </c>
      <c r="L38" s="10"/>
      <c r="M38" s="10" t="e">
        <f>'USD 19-21'!#REF!*69.2</f>
        <v>#REF!</v>
      </c>
      <c r="N38" s="11"/>
      <c r="O38" s="11"/>
    </row>
    <row r="39" spans="1:15" ht="18" customHeight="1">
      <c r="A39" s="22">
        <v>3214</v>
      </c>
      <c r="B39" s="36">
        <v>42</v>
      </c>
      <c r="C39" s="36">
        <v>930</v>
      </c>
      <c r="D39" s="45">
        <v>70499</v>
      </c>
      <c r="E39" s="112" t="s">
        <v>10</v>
      </c>
      <c r="F39" s="10"/>
      <c r="G39" s="10" t="e">
        <f>'USD 19-21'!#REF!*64.8</f>
        <v>#REF!</v>
      </c>
      <c r="H39" s="104"/>
      <c r="I39" s="60" t="e">
        <f>'USD 19-21'!#REF!*64.8</f>
        <v>#REF!</v>
      </c>
      <c r="J39" s="93">
        <f t="shared" si="7"/>
        <v>0</v>
      </c>
      <c r="K39" s="93" t="e">
        <f t="shared" si="3"/>
        <v>#REF!</v>
      </c>
      <c r="L39" s="10"/>
      <c r="M39" s="10" t="e">
        <f>'USD 19-21'!#REF!*69.2</f>
        <v>#REF!</v>
      </c>
      <c r="N39" s="11"/>
      <c r="O39" s="11"/>
    </row>
    <row r="40" spans="1:15" ht="18" customHeight="1">
      <c r="A40" s="22">
        <v>3214</v>
      </c>
      <c r="B40" s="36">
        <v>42</v>
      </c>
      <c r="C40" s="36">
        <v>920</v>
      </c>
      <c r="D40" s="45">
        <v>70499</v>
      </c>
      <c r="E40" s="19" t="s">
        <v>71</v>
      </c>
      <c r="F40" s="10"/>
      <c r="G40" s="10" t="e">
        <f>'USD 19-21'!#REF!*64.8</f>
        <v>#REF!</v>
      </c>
      <c r="H40" s="104"/>
      <c r="I40" s="104" t="e">
        <f>'USD 19-21'!#REF!*64.8</f>
        <v>#REF!</v>
      </c>
      <c r="J40" s="93">
        <f t="shared" si="7"/>
        <v>0</v>
      </c>
      <c r="K40" s="93" t="e">
        <f t="shared" si="3"/>
        <v>#REF!</v>
      </c>
      <c r="L40" s="10"/>
      <c r="M40" s="10"/>
      <c r="N40" s="11"/>
      <c r="O40" s="11"/>
    </row>
    <row r="41" spans="1:15" ht="19.5" customHeight="1">
      <c r="A41" s="22">
        <v>3214</v>
      </c>
      <c r="B41" s="36">
        <v>42</v>
      </c>
      <c r="C41" s="36">
        <v>930</v>
      </c>
      <c r="D41" s="45">
        <v>70499</v>
      </c>
      <c r="E41" s="112" t="s">
        <v>42</v>
      </c>
      <c r="F41" s="10"/>
      <c r="G41" s="10" t="e">
        <f>'USD 19-21'!#REF!*64.8</f>
        <v>#REF!</v>
      </c>
      <c r="H41" s="104"/>
      <c r="I41" s="60" t="e">
        <f>'USD 19-21'!#REF!*64.8</f>
        <v>#REF!</v>
      </c>
      <c r="J41" s="93">
        <f t="shared" si="7"/>
        <v>0</v>
      </c>
      <c r="K41" s="93" t="e">
        <f t="shared" si="3"/>
        <v>#REF!</v>
      </c>
      <c r="L41" s="10"/>
      <c r="M41" s="10"/>
      <c r="N41" s="11"/>
      <c r="O41" s="11"/>
    </row>
    <row r="42" spans="1:15" ht="16.5">
      <c r="A42" s="22">
        <v>3214</v>
      </c>
      <c r="B42" s="36">
        <v>42</v>
      </c>
      <c r="C42" s="36">
        <v>930</v>
      </c>
      <c r="D42" s="45">
        <v>70499</v>
      </c>
      <c r="E42" s="113" t="s">
        <v>95</v>
      </c>
      <c r="F42" s="10"/>
      <c r="G42" s="10" t="e">
        <f>'USD 19-21'!#REF!*64.8</f>
        <v>#REF!</v>
      </c>
      <c r="H42" s="104"/>
      <c r="I42" s="60" t="e">
        <f>'USD 19-21'!#REF!*64.8</f>
        <v>#REF!</v>
      </c>
      <c r="J42" s="93">
        <f t="shared" si="7"/>
        <v>0</v>
      </c>
      <c r="K42" s="93" t="e">
        <f t="shared" si="3"/>
        <v>#REF!</v>
      </c>
      <c r="L42" s="10"/>
      <c r="M42" s="10" t="e">
        <f>'USD 19-21'!#REF!*69.2</f>
        <v>#REF!</v>
      </c>
      <c r="N42" s="11"/>
      <c r="O42" s="11"/>
    </row>
    <row r="43" spans="1:15" ht="33">
      <c r="A43" s="22">
        <v>3214</v>
      </c>
      <c r="B43" s="36">
        <v>42</v>
      </c>
      <c r="C43" s="36">
        <v>930</v>
      </c>
      <c r="D43" s="45">
        <v>70499</v>
      </c>
      <c r="E43" s="113" t="s">
        <v>36</v>
      </c>
      <c r="F43" s="10"/>
      <c r="G43" s="10" t="e">
        <f>'USD 19-21'!#REF!*64.8</f>
        <v>#REF!</v>
      </c>
      <c r="H43" s="104"/>
      <c r="I43" s="60" t="e">
        <f>'USD 19-21'!#REF!*64.8</f>
        <v>#REF!</v>
      </c>
      <c r="J43" s="93">
        <f t="shared" si="7"/>
        <v>0</v>
      </c>
      <c r="K43" s="93" t="e">
        <f t="shared" si="3"/>
        <v>#REF!</v>
      </c>
      <c r="L43" s="10"/>
      <c r="M43" s="10"/>
      <c r="N43" s="11"/>
      <c r="O43" s="11"/>
    </row>
    <row r="44" spans="1:15" ht="16.5">
      <c r="A44" s="22">
        <v>3214</v>
      </c>
      <c r="B44" s="36">
        <v>42</v>
      </c>
      <c r="C44" s="36">
        <v>930</v>
      </c>
      <c r="D44" s="45">
        <v>70499</v>
      </c>
      <c r="E44" s="113" t="s">
        <v>178</v>
      </c>
      <c r="F44" s="10"/>
      <c r="G44" s="10" t="e">
        <f>'USD 19-21'!#REF!*64.8</f>
        <v>#REF!</v>
      </c>
      <c r="H44" s="104"/>
      <c r="I44" s="60" t="e">
        <f>'USD 19-21'!#REF!*64.8</f>
        <v>#REF!</v>
      </c>
      <c r="J44" s="93">
        <f t="shared" si="7"/>
        <v>0</v>
      </c>
      <c r="K44" s="93" t="e">
        <f t="shared" si="3"/>
        <v>#REF!</v>
      </c>
      <c r="L44" s="10"/>
      <c r="M44" s="10" t="e">
        <f>'USD 19-21'!#REF!*69.2</f>
        <v>#REF!</v>
      </c>
      <c r="N44" s="11"/>
      <c r="O44" s="11"/>
    </row>
    <row r="45" spans="1:15" ht="16.5">
      <c r="A45" s="22">
        <v>3111</v>
      </c>
      <c r="B45" s="36">
        <v>42</v>
      </c>
      <c r="C45" s="36">
        <v>910</v>
      </c>
      <c r="D45" s="45">
        <v>70499</v>
      </c>
      <c r="E45" s="20" t="s">
        <v>103</v>
      </c>
      <c r="F45" s="10">
        <v>4000</v>
      </c>
      <c r="G45" s="10"/>
      <c r="H45" s="104">
        <v>4000</v>
      </c>
      <c r="I45" s="104"/>
      <c r="J45" s="93">
        <f t="shared" si="7"/>
        <v>0</v>
      </c>
      <c r="K45" s="93">
        <f t="shared" si="3"/>
        <v>0</v>
      </c>
      <c r="L45" s="10">
        <v>6500</v>
      </c>
      <c r="M45" s="11"/>
      <c r="N45" s="10">
        <v>10000</v>
      </c>
      <c r="O45" s="11"/>
    </row>
    <row r="46" spans="1:15" ht="16.5">
      <c r="A46" s="22">
        <v>3111</v>
      </c>
      <c r="B46" s="36">
        <v>42</v>
      </c>
      <c r="C46" s="36">
        <v>920</v>
      </c>
      <c r="D46" s="45">
        <v>70499</v>
      </c>
      <c r="E46" s="20" t="s">
        <v>48</v>
      </c>
      <c r="F46" s="10"/>
      <c r="G46" s="10" t="e">
        <f>'USD 19-21'!#REF!*64.8</f>
        <v>#REF!</v>
      </c>
      <c r="H46" s="104"/>
      <c r="I46" s="104">
        <f>'USD 19-21'!J114*64.8</f>
        <v>51840</v>
      </c>
      <c r="J46" s="93">
        <f t="shared" si="7"/>
        <v>0</v>
      </c>
      <c r="K46" s="93" t="e">
        <f t="shared" si="3"/>
        <v>#REF!</v>
      </c>
      <c r="L46" s="10"/>
      <c r="M46" s="10">
        <f>'USD 19-21'!L114*69.2</f>
        <v>0</v>
      </c>
      <c r="N46" s="11"/>
      <c r="O46" s="10">
        <f>'USD 19-21'!N114*72.4</f>
        <v>0</v>
      </c>
    </row>
    <row r="47" spans="1:15" ht="16.5">
      <c r="A47" s="22">
        <v>3214</v>
      </c>
      <c r="B47" s="36">
        <v>42</v>
      </c>
      <c r="C47" s="36">
        <v>920</v>
      </c>
      <c r="D47" s="45">
        <v>70499</v>
      </c>
      <c r="E47" s="20" t="s">
        <v>48</v>
      </c>
      <c r="F47" s="10"/>
      <c r="G47" s="10" t="e">
        <f>'USD 19-21'!#REF!*64.8</f>
        <v>#REF!</v>
      </c>
      <c r="H47" s="104"/>
      <c r="I47" s="104">
        <f>'USD 19-21'!J115*64.8</f>
        <v>175251.6</v>
      </c>
      <c r="J47" s="93">
        <f t="shared" si="7"/>
        <v>0</v>
      </c>
      <c r="K47" s="93" t="e">
        <f t="shared" si="3"/>
        <v>#REF!</v>
      </c>
      <c r="L47" s="10"/>
      <c r="M47" s="10">
        <f>'USD 19-21'!L115*69.2</f>
        <v>0</v>
      </c>
      <c r="N47" s="11"/>
      <c r="O47" s="10">
        <f>'USD 19-21'!N115*72.4</f>
        <v>0</v>
      </c>
    </row>
    <row r="48" spans="1:15" ht="16.5">
      <c r="A48" s="22">
        <v>3214</v>
      </c>
      <c r="B48" s="36">
        <v>42</v>
      </c>
      <c r="C48" s="36">
        <v>930</v>
      </c>
      <c r="D48" s="45">
        <v>70499</v>
      </c>
      <c r="E48" s="113" t="s">
        <v>49</v>
      </c>
      <c r="F48" s="10"/>
      <c r="G48" s="10" t="e">
        <f>'USD 19-21'!#REF!*64.8</f>
        <v>#REF!</v>
      </c>
      <c r="H48" s="104"/>
      <c r="I48" s="60">
        <f>'USD 19-21'!J116*64.8</f>
        <v>75109.68</v>
      </c>
      <c r="J48" s="93">
        <f t="shared" si="7"/>
        <v>0</v>
      </c>
      <c r="K48" s="93" t="e">
        <f t="shared" si="3"/>
        <v>#REF!</v>
      </c>
      <c r="L48" s="10"/>
      <c r="M48" s="10">
        <f>'USD 19-21'!L116*69.2</f>
        <v>0</v>
      </c>
      <c r="N48" s="11"/>
      <c r="O48" s="10">
        <f>'USD 19-21'!N116*72.4</f>
        <v>0</v>
      </c>
    </row>
    <row r="49" spans="1:15" ht="16.5">
      <c r="A49" s="22">
        <v>3214</v>
      </c>
      <c r="B49" s="36">
        <v>42</v>
      </c>
      <c r="C49" s="36">
        <v>920</v>
      </c>
      <c r="D49" s="45">
        <v>70499</v>
      </c>
      <c r="E49" s="20" t="s">
        <v>132</v>
      </c>
      <c r="F49" s="10"/>
      <c r="G49" s="10" t="e">
        <f>'USD 19-21'!#REF!*64.8</f>
        <v>#REF!</v>
      </c>
      <c r="H49" s="104"/>
      <c r="I49" s="104" t="e">
        <f>'USD 19-21'!#REF!*64.8</f>
        <v>#REF!</v>
      </c>
      <c r="J49" s="93">
        <f t="shared" si="7"/>
        <v>0</v>
      </c>
      <c r="K49" s="93" t="e">
        <f t="shared" si="3"/>
        <v>#REF!</v>
      </c>
      <c r="L49" s="10"/>
      <c r="M49" s="10" t="e">
        <f>'USD 19-21'!#REF!*69.2</f>
        <v>#REF!</v>
      </c>
      <c r="N49" s="11"/>
      <c r="O49" s="10" t="e">
        <f>'USD 19-21'!#REF!*72.4</f>
        <v>#REF!</v>
      </c>
    </row>
    <row r="50" spans="1:15" ht="16.5">
      <c r="A50" s="22">
        <v>3214</v>
      </c>
      <c r="B50" s="36">
        <v>42</v>
      </c>
      <c r="C50" s="36">
        <v>930</v>
      </c>
      <c r="D50" s="45">
        <v>70499</v>
      </c>
      <c r="E50" s="113" t="s">
        <v>64</v>
      </c>
      <c r="F50" s="10"/>
      <c r="G50" s="10" t="e">
        <f>'USD 19-21'!#REF!*64.8</f>
        <v>#REF!</v>
      </c>
      <c r="H50" s="104"/>
      <c r="I50" s="60" t="e">
        <f>'USD 19-21'!#REF!*64.8</f>
        <v>#REF!</v>
      </c>
      <c r="J50" s="93">
        <f t="shared" si="7"/>
        <v>0</v>
      </c>
      <c r="K50" s="93" t="e">
        <f t="shared" si="3"/>
        <v>#REF!</v>
      </c>
      <c r="L50" s="10"/>
      <c r="M50" s="10" t="e">
        <f>'USD 19-21'!#REF!*69.2</f>
        <v>#REF!</v>
      </c>
      <c r="N50" s="11"/>
      <c r="O50" s="10" t="e">
        <f>'USD 19-21'!#REF!*72.4</f>
        <v>#REF!</v>
      </c>
    </row>
    <row r="51" spans="1:15" ht="16.5">
      <c r="A51" s="22">
        <v>3214</v>
      </c>
      <c r="B51" s="36">
        <v>42</v>
      </c>
      <c r="C51" s="36">
        <v>930</v>
      </c>
      <c r="D51" s="45">
        <v>70499</v>
      </c>
      <c r="E51" s="113" t="s">
        <v>65</v>
      </c>
      <c r="F51" s="10"/>
      <c r="G51" s="10"/>
      <c r="H51" s="104"/>
      <c r="I51" s="60"/>
      <c r="J51" s="93">
        <f t="shared" si="7"/>
        <v>0</v>
      </c>
      <c r="K51" s="93">
        <f t="shared" si="3"/>
        <v>0</v>
      </c>
      <c r="L51" s="10"/>
      <c r="M51" s="10" t="e">
        <f>'USD 19-21'!#REF!*69.2</f>
        <v>#REF!</v>
      </c>
      <c r="N51" s="11"/>
      <c r="O51" s="10" t="e">
        <f>'USD 19-21'!#REF!*72.4</f>
        <v>#REF!</v>
      </c>
    </row>
    <row r="52" spans="1:15" ht="16.5">
      <c r="A52" s="22">
        <v>3111</v>
      </c>
      <c r="B52" s="36">
        <v>42</v>
      </c>
      <c r="C52" s="36">
        <v>920</v>
      </c>
      <c r="D52" s="45">
        <v>70499</v>
      </c>
      <c r="E52" s="20" t="s">
        <v>179</v>
      </c>
      <c r="F52" s="10"/>
      <c r="G52" s="10" t="e">
        <f>'USD 19-21'!#REF!*64.8</f>
        <v>#REF!</v>
      </c>
      <c r="H52" s="104"/>
      <c r="I52" s="104">
        <f>'USD 19-21'!J118*64.8</f>
        <v>396167.75999999995</v>
      </c>
      <c r="J52" s="93">
        <f t="shared" si="7"/>
        <v>0</v>
      </c>
      <c r="K52" s="93" t="e">
        <f t="shared" si="3"/>
        <v>#REF!</v>
      </c>
      <c r="L52" s="10"/>
      <c r="M52" s="10">
        <f>'USD 19-21'!L118*69.2</f>
        <v>369327.32000000007</v>
      </c>
      <c r="N52" s="11"/>
      <c r="O52" s="10">
        <f>'USD 19-21'!N118*72.4</f>
        <v>145668.80000000002</v>
      </c>
    </row>
    <row r="53" spans="1:15" ht="16.5">
      <c r="A53" s="22">
        <v>3214</v>
      </c>
      <c r="B53" s="36">
        <v>42</v>
      </c>
      <c r="C53" s="36">
        <v>920</v>
      </c>
      <c r="D53" s="45">
        <v>70499</v>
      </c>
      <c r="E53" s="20" t="s">
        <v>53</v>
      </c>
      <c r="F53" s="10"/>
      <c r="G53" s="10" t="e">
        <f>'USD 19-21'!#REF!*64.8</f>
        <v>#REF!</v>
      </c>
      <c r="H53" s="104"/>
      <c r="I53" s="104">
        <f>'USD 19-21'!J120*64.8</f>
        <v>129600</v>
      </c>
      <c r="J53" s="93">
        <f t="shared" si="7"/>
        <v>0</v>
      </c>
      <c r="K53" s="93" t="e">
        <f t="shared" si="3"/>
        <v>#REF!</v>
      </c>
      <c r="L53" s="10"/>
      <c r="M53" s="10">
        <f>'USD 19-21'!L120*69.2</f>
        <v>259500</v>
      </c>
      <c r="N53" s="11"/>
      <c r="O53" s="10">
        <f>'USD 19-21'!N120*72.4</f>
        <v>36200</v>
      </c>
    </row>
    <row r="54" spans="1:15" ht="16.5">
      <c r="A54" s="22">
        <v>3214</v>
      </c>
      <c r="B54" s="36">
        <v>42</v>
      </c>
      <c r="C54" s="36">
        <v>930</v>
      </c>
      <c r="D54" s="45">
        <v>70499</v>
      </c>
      <c r="E54" s="113" t="s">
        <v>54</v>
      </c>
      <c r="F54" s="10"/>
      <c r="G54" s="10" t="e">
        <f>'USD 19-21'!#REF!*64.8</f>
        <v>#REF!</v>
      </c>
      <c r="H54" s="104"/>
      <c r="I54" s="60">
        <f>'USD 19-21'!J121*64.8</f>
        <v>907200</v>
      </c>
      <c r="J54" s="93">
        <f t="shared" si="7"/>
        <v>0</v>
      </c>
      <c r="K54" s="93" t="e">
        <f t="shared" si="3"/>
        <v>#REF!</v>
      </c>
      <c r="L54" s="10"/>
      <c r="M54" s="10">
        <f>'USD 19-21'!L121*69.2</f>
        <v>1557000</v>
      </c>
      <c r="N54" s="11"/>
      <c r="O54" s="10">
        <f>'USD 19-21'!N121*72.4</f>
        <v>325800</v>
      </c>
    </row>
    <row r="55" spans="1:15" ht="16.5">
      <c r="A55" s="22">
        <v>3214</v>
      </c>
      <c r="B55" s="36">
        <v>42</v>
      </c>
      <c r="C55" s="36">
        <v>930</v>
      </c>
      <c r="D55" s="45">
        <v>70499</v>
      </c>
      <c r="E55" s="113" t="s">
        <v>160</v>
      </c>
      <c r="F55" s="10"/>
      <c r="G55" s="10" t="e">
        <f>'USD 19-21'!#REF!*64.8</f>
        <v>#REF!</v>
      </c>
      <c r="H55" s="104"/>
      <c r="I55" s="60">
        <f>'USD 19-21'!J122*64.8</f>
        <v>1555200</v>
      </c>
      <c r="J55" s="93">
        <f t="shared" si="7"/>
        <v>0</v>
      </c>
      <c r="K55" s="93" t="e">
        <f t="shared" si="3"/>
        <v>#REF!</v>
      </c>
      <c r="L55" s="10"/>
      <c r="M55" s="10">
        <f>'USD 19-21'!L122*69.2</f>
        <v>3114000</v>
      </c>
      <c r="N55" s="11"/>
      <c r="O55" s="10">
        <f>'USD 19-21'!N122*72.4</f>
        <v>579200</v>
      </c>
    </row>
    <row r="56" spans="1:15" ht="33">
      <c r="A56" s="22">
        <v>3214</v>
      </c>
      <c r="B56" s="36">
        <v>42</v>
      </c>
      <c r="C56" s="36">
        <v>920</v>
      </c>
      <c r="D56" s="45">
        <v>70499</v>
      </c>
      <c r="E56" s="20" t="s">
        <v>67</v>
      </c>
      <c r="F56" s="10"/>
      <c r="G56" s="10" t="e">
        <f>'USD 19-21'!#REF!*64.8</f>
        <v>#REF!</v>
      </c>
      <c r="H56" s="104"/>
      <c r="I56" s="104" t="e">
        <f>'USD 19-21'!#REF!*64.8</f>
        <v>#REF!</v>
      </c>
      <c r="J56" s="93">
        <f t="shared" si="7"/>
        <v>0</v>
      </c>
      <c r="K56" s="93" t="e">
        <f t="shared" si="3"/>
        <v>#REF!</v>
      </c>
      <c r="L56" s="10"/>
      <c r="M56" s="10" t="e">
        <f>'USD 19-21'!#REF!*69.2</f>
        <v>#REF!</v>
      </c>
      <c r="N56" s="11"/>
      <c r="O56" s="10" t="e">
        <f>'USD 19-21'!#REF!*72.4</f>
        <v>#REF!</v>
      </c>
    </row>
    <row r="57" spans="1:15" ht="33">
      <c r="A57" s="22">
        <v>3214</v>
      </c>
      <c r="B57" s="36">
        <v>42</v>
      </c>
      <c r="C57" s="36">
        <v>930</v>
      </c>
      <c r="D57" s="45">
        <v>70499</v>
      </c>
      <c r="E57" s="113" t="s">
        <v>68</v>
      </c>
      <c r="F57" s="10"/>
      <c r="G57" s="10" t="e">
        <f>'USD 19-21'!#REF!*64.8</f>
        <v>#REF!</v>
      </c>
      <c r="H57" s="104"/>
      <c r="I57" s="60">
        <f>'USD 19-21'!J124*64.8</f>
        <v>131868</v>
      </c>
      <c r="J57" s="93">
        <f t="shared" si="7"/>
        <v>0</v>
      </c>
      <c r="K57" s="93" t="e">
        <f t="shared" si="3"/>
        <v>#REF!</v>
      </c>
      <c r="L57" s="10"/>
      <c r="M57" s="10">
        <f>'USD 19-21'!L124*69.2</f>
        <v>968.8000000000001</v>
      </c>
      <c r="N57" s="11"/>
      <c r="O57" s="10">
        <f>'USD 19-21'!N124*72.4</f>
        <v>0</v>
      </c>
    </row>
    <row r="58" spans="1:15" ht="33">
      <c r="A58" s="22">
        <v>3214</v>
      </c>
      <c r="B58" s="36">
        <v>42</v>
      </c>
      <c r="C58" s="36">
        <v>930</v>
      </c>
      <c r="D58" s="45">
        <v>70499</v>
      </c>
      <c r="E58" s="113" t="s">
        <v>77</v>
      </c>
      <c r="F58" s="10"/>
      <c r="G58" s="10" t="e">
        <f>'USD 19-21'!#REF!*64.8</f>
        <v>#REF!</v>
      </c>
      <c r="H58" s="104"/>
      <c r="I58" s="60">
        <f>'USD 19-21'!J125*64.8</f>
        <v>324000</v>
      </c>
      <c r="J58" s="93">
        <f t="shared" si="7"/>
        <v>0</v>
      </c>
      <c r="K58" s="93" t="e">
        <f t="shared" si="3"/>
        <v>#REF!</v>
      </c>
      <c r="L58" s="10"/>
      <c r="M58" s="10">
        <f>'USD 19-21'!L125*69.2</f>
        <v>124560</v>
      </c>
      <c r="N58" s="11"/>
      <c r="O58" s="10"/>
    </row>
    <row r="59" spans="1:15" ht="16.5">
      <c r="A59" s="22">
        <v>3214</v>
      </c>
      <c r="B59" s="36">
        <v>42</v>
      </c>
      <c r="C59" s="36">
        <v>930</v>
      </c>
      <c r="D59" s="45">
        <v>70499</v>
      </c>
      <c r="E59" s="114" t="s">
        <v>155</v>
      </c>
      <c r="F59" s="10"/>
      <c r="G59" s="10" t="e">
        <f>'USD 19-21'!#REF!*64.8</f>
        <v>#REF!</v>
      </c>
      <c r="H59" s="104"/>
      <c r="I59" s="60">
        <f>'USD 19-21'!J126*64.8</f>
        <v>31104</v>
      </c>
      <c r="J59" s="93">
        <f t="shared" si="7"/>
        <v>0</v>
      </c>
      <c r="K59" s="93" t="e">
        <f t="shared" si="3"/>
        <v>#REF!</v>
      </c>
      <c r="L59" s="10"/>
      <c r="M59" s="10">
        <f>'USD 19-21'!L126*69.2</f>
        <v>235107</v>
      </c>
      <c r="N59" s="11"/>
      <c r="O59" s="10">
        <f>'USD 19-21'!N126*72.4</f>
        <v>1828100.0000000002</v>
      </c>
    </row>
    <row r="60" spans="1:15" ht="33">
      <c r="A60" s="22">
        <v>3214</v>
      </c>
      <c r="B60" s="36">
        <v>42</v>
      </c>
      <c r="C60" s="36">
        <v>930</v>
      </c>
      <c r="D60" s="45">
        <v>70499</v>
      </c>
      <c r="E60" s="113" t="s">
        <v>156</v>
      </c>
      <c r="F60" s="10"/>
      <c r="G60" s="10" t="e">
        <f>'USD 19-21'!#REF!*64.8</f>
        <v>#REF!</v>
      </c>
      <c r="H60" s="104"/>
      <c r="I60" s="60">
        <f>'USD 19-21'!J127*64.8</f>
        <v>265245.84</v>
      </c>
      <c r="J60" s="93">
        <f t="shared" si="7"/>
        <v>0</v>
      </c>
      <c r="K60" s="93" t="e">
        <f t="shared" si="3"/>
        <v>#REF!</v>
      </c>
      <c r="L60" s="10"/>
      <c r="M60" s="10">
        <f>'USD 19-21'!L127*69.2</f>
        <v>1173389.8</v>
      </c>
      <c r="N60" s="11"/>
      <c r="O60" s="10">
        <f>'USD 19-21'!N127*72.4</f>
        <v>1227411.6800000002</v>
      </c>
    </row>
    <row r="61" spans="2:15" ht="18" customHeight="1">
      <c r="B61" s="36"/>
      <c r="C61" s="36"/>
      <c r="D61" s="36"/>
      <c r="E61" s="78" t="s">
        <v>7</v>
      </c>
      <c r="F61" s="93">
        <f aca="true" t="shared" si="8" ref="F61:O61">F62</f>
        <v>96400</v>
      </c>
      <c r="G61" s="93" t="e">
        <f t="shared" si="8"/>
        <v>#REF!</v>
      </c>
      <c r="H61" s="102">
        <f t="shared" si="8"/>
        <v>45000</v>
      </c>
      <c r="I61" s="102" t="e">
        <f>I62</f>
        <v>#REF!</v>
      </c>
      <c r="J61" s="93">
        <f t="shared" si="2"/>
        <v>-51400</v>
      </c>
      <c r="K61" s="93" t="e">
        <f t="shared" si="3"/>
        <v>#REF!</v>
      </c>
      <c r="L61" s="93">
        <f t="shared" si="8"/>
        <v>189461</v>
      </c>
      <c r="M61" s="93" t="e">
        <f t="shared" si="8"/>
        <v>#REF!</v>
      </c>
      <c r="N61" s="93">
        <f t="shared" si="8"/>
        <v>31500</v>
      </c>
      <c r="O61" s="93" t="e">
        <f t="shared" si="8"/>
        <v>#REF!</v>
      </c>
    </row>
    <row r="62" spans="2:16" ht="18" customHeight="1">
      <c r="B62" s="36"/>
      <c r="C62" s="36"/>
      <c r="D62" s="36"/>
      <c r="E62" s="79" t="s">
        <v>3</v>
      </c>
      <c r="F62" s="94">
        <f>SUM(F63:F73)</f>
        <v>96400</v>
      </c>
      <c r="G62" s="94" t="e">
        <f>SUM(G63:G73)</f>
        <v>#REF!</v>
      </c>
      <c r="H62" s="103">
        <f>SUM(H63:H73)</f>
        <v>45000</v>
      </c>
      <c r="I62" s="103" t="e">
        <f>SUM(I63:I73)</f>
        <v>#REF!</v>
      </c>
      <c r="J62" s="93">
        <f>H62-F62</f>
        <v>-51400</v>
      </c>
      <c r="K62" s="93" t="e">
        <f>I62-G62</f>
        <v>#REF!</v>
      </c>
      <c r="L62" s="94">
        <f>SUM(L63:L73)</f>
        <v>189461</v>
      </c>
      <c r="M62" s="94" t="e">
        <f>SUM(M63:M73)</f>
        <v>#REF!</v>
      </c>
      <c r="N62" s="94">
        <f>SUM(N63:N67)</f>
        <v>31500</v>
      </c>
      <c r="O62" s="94" t="e">
        <f>SUM(O63:O73)</f>
        <v>#REF!</v>
      </c>
      <c r="P62" s="22">
        <v>0</v>
      </c>
    </row>
    <row r="63" spans="1:15" ht="18" customHeight="1">
      <c r="A63" s="22">
        <v>3111</v>
      </c>
      <c r="B63" s="36">
        <v>34</v>
      </c>
      <c r="C63" s="36">
        <v>921</v>
      </c>
      <c r="D63" s="45">
        <v>70989</v>
      </c>
      <c r="E63" s="20" t="s">
        <v>105</v>
      </c>
      <c r="F63" s="10"/>
      <c r="G63" s="10" t="e">
        <f>'USD 19-21'!#REF!*64.8</f>
        <v>#REF!</v>
      </c>
      <c r="H63" s="104"/>
      <c r="I63" s="104">
        <f>'USD 19-21'!J32*64.8</f>
        <v>0</v>
      </c>
      <c r="J63" s="93">
        <f t="shared" si="2"/>
        <v>0</v>
      </c>
      <c r="K63" s="93" t="e">
        <f t="shared" si="3"/>
        <v>#REF!</v>
      </c>
      <c r="L63" s="10"/>
      <c r="M63" s="10">
        <f>'USD 19-21'!L32*69.2</f>
        <v>0</v>
      </c>
      <c r="N63" s="11"/>
      <c r="O63" s="11">
        <f>'USD 19-21'!N32*72.4</f>
        <v>0</v>
      </c>
    </row>
    <row r="64" spans="1:15" ht="18" customHeight="1">
      <c r="A64" s="22">
        <v>3111</v>
      </c>
      <c r="B64" s="36">
        <v>34</v>
      </c>
      <c r="C64" s="36">
        <v>931</v>
      </c>
      <c r="D64" s="45">
        <v>70989</v>
      </c>
      <c r="E64" s="113" t="s">
        <v>106</v>
      </c>
      <c r="F64" s="10"/>
      <c r="G64" s="10" t="e">
        <f>'USD 19-21'!#REF!*64.8</f>
        <v>#REF!</v>
      </c>
      <c r="H64" s="104"/>
      <c r="I64" s="104" t="e">
        <f>'USD 19-21'!#REF!*64.8</f>
        <v>#REF!</v>
      </c>
      <c r="J64" s="93">
        <f t="shared" si="2"/>
        <v>0</v>
      </c>
      <c r="K64" s="93" t="e">
        <f t="shared" si="3"/>
        <v>#REF!</v>
      </c>
      <c r="L64" s="10"/>
      <c r="M64" s="10" t="e">
        <f>'USD 19-21'!#REF!*69.2</f>
        <v>#REF!</v>
      </c>
      <c r="N64" s="11"/>
      <c r="O64" s="11" t="e">
        <f>'USD 19-21'!#REF!*72.4</f>
        <v>#REF!</v>
      </c>
    </row>
    <row r="65" spans="1:16" ht="33">
      <c r="A65" s="22">
        <v>3111</v>
      </c>
      <c r="B65" s="36">
        <v>34</v>
      </c>
      <c r="C65" s="36">
        <v>911</v>
      </c>
      <c r="D65" s="45">
        <v>70989</v>
      </c>
      <c r="E65" s="84" t="s">
        <v>153</v>
      </c>
      <c r="F65" s="10">
        <v>26400</v>
      </c>
      <c r="G65" s="10"/>
      <c r="H65" s="104">
        <v>10000</v>
      </c>
      <c r="I65" s="104"/>
      <c r="J65" s="93">
        <f t="shared" si="2"/>
        <v>-16400</v>
      </c>
      <c r="K65" s="93">
        <f t="shared" si="3"/>
        <v>0</v>
      </c>
      <c r="L65" s="10">
        <v>31500</v>
      </c>
      <c r="M65" s="10"/>
      <c r="N65" s="10">
        <v>31500</v>
      </c>
      <c r="O65" s="11"/>
      <c r="P65" s="22">
        <f>600+(-44800)</f>
        <v>-44200</v>
      </c>
    </row>
    <row r="66" spans="1:15" ht="33">
      <c r="A66" s="22">
        <v>3111</v>
      </c>
      <c r="B66" s="36">
        <v>34</v>
      </c>
      <c r="C66" s="36">
        <v>921</v>
      </c>
      <c r="D66" s="45">
        <v>70989</v>
      </c>
      <c r="E66" s="20" t="s">
        <v>154</v>
      </c>
      <c r="F66" s="10"/>
      <c r="G66" s="10" t="e">
        <f>'USD 19-21'!#REF!*64.8</f>
        <v>#REF!</v>
      </c>
      <c r="H66" s="104"/>
      <c r="I66" s="104">
        <f>'USD 19-21'!J36*64.8</f>
        <v>97200</v>
      </c>
      <c r="J66" s="93">
        <f t="shared" si="2"/>
        <v>0</v>
      </c>
      <c r="K66" s="93" t="e">
        <f t="shared" si="3"/>
        <v>#REF!</v>
      </c>
      <c r="L66" s="10"/>
      <c r="M66" s="10">
        <f>'USD 19-21'!L36*69.2</f>
        <v>207600</v>
      </c>
      <c r="N66" s="11"/>
      <c r="O66" s="10">
        <f>'USD 19-21'!N36*72.4</f>
        <v>109722.20000000001</v>
      </c>
    </row>
    <row r="67" spans="1:15" ht="18" customHeight="1">
      <c r="A67" s="22">
        <v>3111</v>
      </c>
      <c r="B67" s="36">
        <v>34</v>
      </c>
      <c r="C67" s="36">
        <v>921</v>
      </c>
      <c r="D67" s="45">
        <v>70989</v>
      </c>
      <c r="E67" s="20" t="s">
        <v>150</v>
      </c>
      <c r="F67" s="10"/>
      <c r="G67" s="10" t="e">
        <f>'USD 19-21'!#REF!*64.8</f>
        <v>#REF!</v>
      </c>
      <c r="H67" s="104"/>
      <c r="I67" s="104" t="e">
        <f>'USD 19-21'!#REF!*64.8</f>
        <v>#REF!</v>
      </c>
      <c r="J67" s="93">
        <f t="shared" si="2"/>
        <v>0</v>
      </c>
      <c r="K67" s="93" t="e">
        <f t="shared" si="3"/>
        <v>#REF!</v>
      </c>
      <c r="L67" s="10"/>
      <c r="M67" s="10" t="e">
        <f>'USD 19-21'!#REF!*69.2</f>
        <v>#REF!</v>
      </c>
      <c r="N67" s="11"/>
      <c r="O67" s="10" t="e">
        <f>'USD 19-21'!#REF!*72.4</f>
        <v>#REF!</v>
      </c>
    </row>
    <row r="68" spans="1:15" ht="47.25" customHeight="1">
      <c r="A68" s="22">
        <v>3111</v>
      </c>
      <c r="B68" s="36">
        <v>73</v>
      </c>
      <c r="C68" s="36">
        <v>911</v>
      </c>
      <c r="D68" s="45">
        <v>70989</v>
      </c>
      <c r="E68" s="84" t="s">
        <v>38</v>
      </c>
      <c r="F68" s="10">
        <v>70000</v>
      </c>
      <c r="G68" s="10"/>
      <c r="H68" s="104">
        <v>35000</v>
      </c>
      <c r="I68" s="104"/>
      <c r="J68" s="93">
        <f>H68-F68</f>
        <v>-35000</v>
      </c>
      <c r="K68" s="93">
        <f t="shared" si="3"/>
        <v>0</v>
      </c>
      <c r="L68" s="10">
        <v>92561</v>
      </c>
      <c r="M68" s="11"/>
      <c r="N68" s="10">
        <v>43379</v>
      </c>
      <c r="O68" s="11"/>
    </row>
    <row r="69" spans="1:15" ht="36.75" customHeight="1">
      <c r="A69" s="22">
        <v>3111</v>
      </c>
      <c r="B69" s="36">
        <v>73</v>
      </c>
      <c r="C69" s="36">
        <v>921</v>
      </c>
      <c r="D69" s="45">
        <v>70989</v>
      </c>
      <c r="E69" s="84" t="s">
        <v>27</v>
      </c>
      <c r="F69" s="10"/>
      <c r="G69" s="10" t="e">
        <f>'USD 19-21'!#REF!*64.8</f>
        <v>#REF!</v>
      </c>
      <c r="H69" s="104"/>
      <c r="I69" s="104">
        <f>'USD 19-21'!J38*64.8</f>
        <v>31914</v>
      </c>
      <c r="J69" s="93">
        <f t="shared" si="2"/>
        <v>0</v>
      </c>
      <c r="K69" s="93" t="e">
        <f>I69-G69</f>
        <v>#REF!</v>
      </c>
      <c r="L69" s="10"/>
      <c r="M69" s="10">
        <f>'USD 19-21'!L38*69.2</f>
        <v>0</v>
      </c>
      <c r="N69" s="11"/>
      <c r="O69" s="11">
        <f>'USD 19-21'!N38*72.4</f>
        <v>0</v>
      </c>
    </row>
    <row r="70" spans="1:15" ht="35.25" customHeight="1">
      <c r="A70" s="22">
        <v>3111</v>
      </c>
      <c r="B70" s="36">
        <v>73</v>
      </c>
      <c r="C70" s="36">
        <v>931</v>
      </c>
      <c r="D70" s="45">
        <v>70989</v>
      </c>
      <c r="E70" s="113" t="s">
        <v>39</v>
      </c>
      <c r="F70" s="10"/>
      <c r="G70" s="10" t="e">
        <f>'USD 19-21'!#REF!*64.8</f>
        <v>#REF!</v>
      </c>
      <c r="H70" s="104"/>
      <c r="I70" s="104">
        <f>'USD 19-21'!J39*64.8</f>
        <v>14385.599999999999</v>
      </c>
      <c r="J70" s="93">
        <f t="shared" si="2"/>
        <v>0</v>
      </c>
      <c r="K70" s="93" t="e">
        <f t="shared" si="3"/>
        <v>#REF!</v>
      </c>
      <c r="L70" s="10"/>
      <c r="M70" s="10">
        <f>'USD 19-21'!L39*69.2</f>
        <v>0</v>
      </c>
      <c r="N70" s="11"/>
      <c r="O70" s="11">
        <f>'USD 19-21'!N39*72.4</f>
        <v>0</v>
      </c>
    </row>
    <row r="71" spans="1:15" ht="24" customHeight="1">
      <c r="A71" s="22">
        <v>3111</v>
      </c>
      <c r="B71" s="36">
        <v>73</v>
      </c>
      <c r="C71" s="36">
        <v>911</v>
      </c>
      <c r="D71" s="45">
        <v>70989</v>
      </c>
      <c r="E71" s="84" t="s">
        <v>133</v>
      </c>
      <c r="F71" s="10"/>
      <c r="G71" s="10"/>
      <c r="H71" s="104"/>
      <c r="I71" s="104"/>
      <c r="J71" s="93">
        <f t="shared" si="2"/>
        <v>0</v>
      </c>
      <c r="K71" s="93">
        <f t="shared" si="3"/>
        <v>0</v>
      </c>
      <c r="L71" s="10">
        <v>65400</v>
      </c>
      <c r="M71" s="11"/>
      <c r="N71" s="10"/>
      <c r="O71" s="11"/>
    </row>
    <row r="72" spans="1:15" ht="42.75" customHeight="1">
      <c r="A72" s="22">
        <v>3111</v>
      </c>
      <c r="B72" s="36">
        <v>73</v>
      </c>
      <c r="C72" s="36">
        <v>921</v>
      </c>
      <c r="D72" s="45">
        <v>70989</v>
      </c>
      <c r="E72" s="84" t="s">
        <v>134</v>
      </c>
      <c r="F72" s="10"/>
      <c r="G72" s="10"/>
      <c r="H72" s="104"/>
      <c r="I72" s="104"/>
      <c r="J72" s="93">
        <f t="shared" si="2"/>
        <v>0</v>
      </c>
      <c r="K72" s="93">
        <f t="shared" si="3"/>
        <v>0</v>
      </c>
      <c r="L72" s="10"/>
      <c r="M72" s="10" t="e">
        <f>'USD 19-21'!#REF!*69.2</f>
        <v>#REF!</v>
      </c>
      <c r="N72" s="11"/>
      <c r="O72" s="10" t="e">
        <f>'USD 19-21'!#REF!*72.4</f>
        <v>#REF!</v>
      </c>
    </row>
    <row r="73" spans="1:15" ht="47.25" customHeight="1">
      <c r="A73" s="22">
        <v>3111</v>
      </c>
      <c r="B73" s="36">
        <v>73</v>
      </c>
      <c r="C73" s="36">
        <v>931</v>
      </c>
      <c r="D73" s="45">
        <v>70989</v>
      </c>
      <c r="E73" s="113" t="s">
        <v>161</v>
      </c>
      <c r="F73" s="10"/>
      <c r="G73" s="10"/>
      <c r="H73" s="104"/>
      <c r="I73" s="104"/>
      <c r="J73" s="93">
        <f t="shared" si="2"/>
        <v>0</v>
      </c>
      <c r="K73" s="93">
        <f t="shared" si="3"/>
        <v>0</v>
      </c>
      <c r="L73" s="10"/>
      <c r="M73" s="10"/>
      <c r="N73" s="11"/>
      <c r="O73" s="10" t="e">
        <f>'USD 19-21'!#REF!*72.4</f>
        <v>#REF!</v>
      </c>
    </row>
    <row r="74" spans="2:15" ht="18" customHeight="1">
      <c r="B74" s="36"/>
      <c r="C74" s="36"/>
      <c r="D74" s="40"/>
      <c r="E74" s="20"/>
      <c r="F74" s="10"/>
      <c r="G74" s="10"/>
      <c r="H74" s="104"/>
      <c r="I74" s="104"/>
      <c r="J74" s="93">
        <f t="shared" si="2"/>
        <v>0</v>
      </c>
      <c r="K74" s="93">
        <f t="shared" si="3"/>
        <v>0</v>
      </c>
      <c r="L74" s="10"/>
      <c r="M74" s="10"/>
      <c r="N74" s="11"/>
      <c r="O74" s="11"/>
    </row>
    <row r="75" spans="2:15" ht="18" customHeight="1">
      <c r="B75" s="36"/>
      <c r="C75" s="36"/>
      <c r="D75" s="36"/>
      <c r="E75" s="78" t="s">
        <v>8</v>
      </c>
      <c r="F75" s="93">
        <f aca="true" t="shared" si="9" ref="F75:O75">F76</f>
        <v>0</v>
      </c>
      <c r="G75" s="93" t="e">
        <f t="shared" si="9"/>
        <v>#REF!</v>
      </c>
      <c r="H75" s="102">
        <f t="shared" si="9"/>
        <v>0</v>
      </c>
      <c r="I75" s="102" t="e">
        <f t="shared" si="9"/>
        <v>#REF!</v>
      </c>
      <c r="J75" s="93">
        <f t="shared" si="2"/>
        <v>0</v>
      </c>
      <c r="K75" s="93" t="e">
        <f t="shared" si="3"/>
        <v>#REF!</v>
      </c>
      <c r="L75" s="93">
        <f t="shared" si="9"/>
        <v>0</v>
      </c>
      <c r="M75" s="93" t="e">
        <f t="shared" si="9"/>
        <v>#REF!</v>
      </c>
      <c r="N75" s="93">
        <f t="shared" si="9"/>
        <v>0</v>
      </c>
      <c r="O75" s="93" t="e">
        <f t="shared" si="9"/>
        <v>#REF!</v>
      </c>
    </row>
    <row r="76" spans="2:15" ht="18" customHeight="1">
      <c r="B76" s="36"/>
      <c r="C76" s="36"/>
      <c r="D76" s="36"/>
      <c r="E76" s="79" t="s">
        <v>3</v>
      </c>
      <c r="F76" s="94">
        <f aca="true" t="shared" si="10" ref="F76:O76">SUM(F78:F87)</f>
        <v>0</v>
      </c>
      <c r="G76" s="94" t="e">
        <f t="shared" si="10"/>
        <v>#REF!</v>
      </c>
      <c r="H76" s="103">
        <f>SUM(H78:H87)</f>
        <v>0</v>
      </c>
      <c r="I76" s="103" t="e">
        <f>SUM(I77:I87)</f>
        <v>#REF!</v>
      </c>
      <c r="J76" s="93">
        <f t="shared" si="2"/>
        <v>0</v>
      </c>
      <c r="K76" s="93" t="e">
        <f t="shared" si="3"/>
        <v>#REF!</v>
      </c>
      <c r="L76" s="94">
        <f t="shared" si="10"/>
        <v>0</v>
      </c>
      <c r="M76" s="94" t="e">
        <f t="shared" si="10"/>
        <v>#REF!</v>
      </c>
      <c r="N76" s="94">
        <f t="shared" si="10"/>
        <v>0</v>
      </c>
      <c r="O76" s="94" t="e">
        <f t="shared" si="10"/>
        <v>#REF!</v>
      </c>
    </row>
    <row r="77" spans="1:15" s="1" customFormat="1" ht="18" customHeight="1">
      <c r="A77" s="1">
        <v>3111</v>
      </c>
      <c r="B77" s="2">
        <v>37</v>
      </c>
      <c r="C77" s="2">
        <v>921</v>
      </c>
      <c r="D77" s="8">
        <v>70769</v>
      </c>
      <c r="E77" s="9" t="s">
        <v>210</v>
      </c>
      <c r="F77" s="94"/>
      <c r="G77" s="10" t="e">
        <f>'USD 19-21'!#REF!*64.8</f>
        <v>#REF!</v>
      </c>
      <c r="H77" s="103"/>
      <c r="I77" s="104" t="e">
        <f>'USD 19-21'!#REF!*64.8</f>
        <v>#REF!</v>
      </c>
      <c r="J77" s="10">
        <f t="shared" si="2"/>
        <v>0</v>
      </c>
      <c r="K77" s="10" t="e">
        <f t="shared" si="3"/>
        <v>#REF!</v>
      </c>
      <c r="L77" s="94"/>
      <c r="M77" s="10" t="e">
        <f>'USD 19-21'!#REF!*69.2</f>
        <v>#REF!</v>
      </c>
      <c r="N77" s="94"/>
      <c r="O77" s="10" t="e">
        <f>'USD 19-21'!#REF!*72.4</f>
        <v>#REF!</v>
      </c>
    </row>
    <row r="78" spans="1:15" ht="16.5">
      <c r="A78" s="22">
        <v>3111</v>
      </c>
      <c r="B78" s="36">
        <v>37</v>
      </c>
      <c r="C78" s="36">
        <v>921</v>
      </c>
      <c r="D78" s="45">
        <v>70769</v>
      </c>
      <c r="E78" s="20" t="s">
        <v>17</v>
      </c>
      <c r="F78" s="10"/>
      <c r="G78" s="10" t="e">
        <f>'USD 19-21'!#REF!*64.8</f>
        <v>#REF!</v>
      </c>
      <c r="H78" s="104"/>
      <c r="I78" s="104">
        <f>'USD 19-21'!J46*64.8</f>
        <v>8748</v>
      </c>
      <c r="J78" s="93">
        <f t="shared" si="2"/>
        <v>0</v>
      </c>
      <c r="K78" s="93" t="e">
        <f t="shared" si="3"/>
        <v>#REF!</v>
      </c>
      <c r="L78" s="10"/>
      <c r="M78" s="10"/>
      <c r="N78" s="11"/>
      <c r="O78" s="11"/>
    </row>
    <row r="79" spans="1:15" ht="18" customHeight="1">
      <c r="A79" s="22">
        <v>3111</v>
      </c>
      <c r="B79" s="36">
        <v>37</v>
      </c>
      <c r="C79" s="36">
        <v>921</v>
      </c>
      <c r="D79" s="45">
        <v>70769</v>
      </c>
      <c r="E79" s="20" t="s">
        <v>58</v>
      </c>
      <c r="F79" s="10"/>
      <c r="G79" s="10" t="e">
        <f>'USD 19-21'!#REF!*64.8</f>
        <v>#REF!</v>
      </c>
      <c r="H79" s="104"/>
      <c r="I79" s="104">
        <f>'USD 19-21'!J47*64.8</f>
        <v>5054.4</v>
      </c>
      <c r="J79" s="93">
        <f t="shared" si="2"/>
        <v>0</v>
      </c>
      <c r="K79" s="93" t="e">
        <f t="shared" si="3"/>
        <v>#REF!</v>
      </c>
      <c r="L79" s="10"/>
      <c r="M79" s="10"/>
      <c r="N79" s="11"/>
      <c r="O79" s="11"/>
    </row>
    <row r="80" spans="1:15" ht="18" customHeight="1">
      <c r="A80" s="22">
        <v>3111</v>
      </c>
      <c r="B80" s="36">
        <v>37</v>
      </c>
      <c r="C80" s="36">
        <v>921</v>
      </c>
      <c r="D80" s="45">
        <v>70769</v>
      </c>
      <c r="E80" s="20" t="s">
        <v>221</v>
      </c>
      <c r="F80" s="10"/>
      <c r="G80" s="10"/>
      <c r="H80" s="104"/>
      <c r="I80" s="104"/>
      <c r="J80" s="93"/>
      <c r="K80" s="93"/>
      <c r="L80" s="10"/>
      <c r="M80" s="10"/>
      <c r="N80" s="11"/>
      <c r="O80" s="11"/>
    </row>
    <row r="81" spans="1:15" ht="18" customHeight="1">
      <c r="A81" s="22">
        <v>3111</v>
      </c>
      <c r="B81" s="36">
        <v>37</v>
      </c>
      <c r="C81" s="36">
        <v>921</v>
      </c>
      <c r="D81" s="45">
        <v>70769</v>
      </c>
      <c r="E81" s="20" t="s">
        <v>151</v>
      </c>
      <c r="F81" s="10"/>
      <c r="G81" s="10" t="e">
        <f>'USD 19-21'!#REF!*64.8</f>
        <v>#REF!</v>
      </c>
      <c r="H81" s="104"/>
      <c r="I81" s="104">
        <f>'USD 19-21'!J49*64.8</f>
        <v>189540</v>
      </c>
      <c r="J81" s="93">
        <f t="shared" si="2"/>
        <v>0</v>
      </c>
      <c r="K81" s="93" t="e">
        <f t="shared" si="3"/>
        <v>#REF!</v>
      </c>
      <c r="L81" s="10"/>
      <c r="M81" s="10">
        <f>'USD 19-21'!L49*69.2</f>
        <v>276571.64</v>
      </c>
      <c r="N81" s="11"/>
      <c r="O81" s="10"/>
    </row>
    <row r="82" spans="1:15" s="1" customFormat="1" ht="18" customHeight="1">
      <c r="A82" s="1">
        <v>3111</v>
      </c>
      <c r="B82" s="2">
        <v>37</v>
      </c>
      <c r="C82" s="2">
        <v>921</v>
      </c>
      <c r="D82" s="8">
        <v>70769</v>
      </c>
      <c r="E82" s="9" t="s">
        <v>219</v>
      </c>
      <c r="F82" s="10"/>
      <c r="G82" s="10" t="e">
        <f>'USD 19-21'!#REF!*64.8</f>
        <v>#REF!</v>
      </c>
      <c r="H82" s="104"/>
      <c r="I82" s="104"/>
      <c r="J82" s="10"/>
      <c r="K82" s="10"/>
      <c r="L82" s="10"/>
      <c r="M82" s="10"/>
      <c r="N82" s="11"/>
      <c r="O82" s="11"/>
    </row>
    <row r="83" spans="1:15" s="1" customFormat="1" ht="18" customHeight="1">
      <c r="A83" s="1">
        <v>3111</v>
      </c>
      <c r="B83" s="2">
        <v>37</v>
      </c>
      <c r="C83" s="2">
        <v>921</v>
      </c>
      <c r="D83" s="8">
        <v>70769</v>
      </c>
      <c r="E83" s="9" t="s">
        <v>220</v>
      </c>
      <c r="F83" s="10"/>
      <c r="G83" s="10" t="e">
        <f>'USD 19-21'!#REF!*64.8</f>
        <v>#REF!</v>
      </c>
      <c r="H83" s="104"/>
      <c r="I83" s="104"/>
      <c r="J83" s="10"/>
      <c r="K83" s="10"/>
      <c r="L83" s="10"/>
      <c r="M83" s="10" t="e">
        <f>'USD 19-21'!#REF!*69.2</f>
        <v>#REF!</v>
      </c>
      <c r="N83" s="11"/>
      <c r="O83" s="11"/>
    </row>
    <row r="84" spans="1:15" ht="18" customHeight="1">
      <c r="A84" s="22">
        <v>3111</v>
      </c>
      <c r="B84" s="36">
        <v>37</v>
      </c>
      <c r="C84" s="36">
        <v>921</v>
      </c>
      <c r="D84" s="45">
        <v>70769</v>
      </c>
      <c r="E84" s="20" t="s">
        <v>59</v>
      </c>
      <c r="F84" s="10"/>
      <c r="G84" s="10" t="e">
        <f>'USD 19-21'!#REF!*64.8</f>
        <v>#REF!</v>
      </c>
      <c r="H84" s="104"/>
      <c r="I84" s="104">
        <f>'USD 19-21'!J51*64.8</f>
        <v>519339.6</v>
      </c>
      <c r="J84" s="93">
        <f t="shared" si="2"/>
        <v>0</v>
      </c>
      <c r="K84" s="93" t="e">
        <f t="shared" si="3"/>
        <v>#REF!</v>
      </c>
      <c r="L84" s="10"/>
      <c r="M84" s="10"/>
      <c r="N84" s="11"/>
      <c r="O84" s="11"/>
    </row>
    <row r="85" spans="1:15" ht="18" customHeight="1">
      <c r="A85" s="22">
        <v>3111</v>
      </c>
      <c r="B85" s="36">
        <v>37</v>
      </c>
      <c r="C85" s="36">
        <v>921</v>
      </c>
      <c r="D85" s="45">
        <v>70769</v>
      </c>
      <c r="E85" s="20" t="s">
        <v>57</v>
      </c>
      <c r="F85" s="10"/>
      <c r="G85" s="10" t="e">
        <f>'USD 19-21'!#REF!*64.8</f>
        <v>#REF!</v>
      </c>
      <c r="H85" s="104"/>
      <c r="I85" s="104"/>
      <c r="J85" s="93">
        <f t="shared" si="2"/>
        <v>0</v>
      </c>
      <c r="K85" s="93" t="e">
        <f t="shared" si="3"/>
        <v>#REF!</v>
      </c>
      <c r="L85" s="10"/>
      <c r="M85" s="10" t="e">
        <f>'USD 19-21'!#REF!*69.2</f>
        <v>#REF!</v>
      </c>
      <c r="N85" s="11"/>
      <c r="O85" s="10" t="e">
        <f>'USD 19-21'!#REF!*72.4</f>
        <v>#REF!</v>
      </c>
    </row>
    <row r="86" spans="1:15" ht="18" customHeight="1">
      <c r="A86" s="22">
        <v>3111</v>
      </c>
      <c r="B86" s="36">
        <v>37</v>
      </c>
      <c r="C86" s="36">
        <v>921</v>
      </c>
      <c r="D86" s="45">
        <v>70769</v>
      </c>
      <c r="E86" s="20" t="s">
        <v>66</v>
      </c>
      <c r="F86" s="10"/>
      <c r="G86" s="10" t="e">
        <f>'USD 19-21'!#REF!*64.8</f>
        <v>#REF!</v>
      </c>
      <c r="H86" s="104"/>
      <c r="I86" s="104"/>
      <c r="J86" s="93">
        <f t="shared" si="2"/>
        <v>0</v>
      </c>
      <c r="K86" s="93" t="e">
        <f t="shared" si="3"/>
        <v>#REF!</v>
      </c>
      <c r="L86" s="10"/>
      <c r="M86" s="10"/>
      <c r="N86" s="11"/>
      <c r="O86" s="11"/>
    </row>
    <row r="87" spans="1:15" s="1" customFormat="1" ht="18" customHeight="1">
      <c r="A87" s="1">
        <v>3111</v>
      </c>
      <c r="B87" s="2">
        <v>37</v>
      </c>
      <c r="C87" s="2">
        <v>921</v>
      </c>
      <c r="D87" s="8">
        <v>70769</v>
      </c>
      <c r="E87" s="87" t="s">
        <v>66</v>
      </c>
      <c r="F87" s="10"/>
      <c r="G87" s="10" t="e">
        <f>'USD 19-21'!#REF!*64.8</f>
        <v>#REF!</v>
      </c>
      <c r="H87" s="91"/>
      <c r="I87" s="91"/>
      <c r="J87" s="10">
        <f t="shared" si="2"/>
        <v>0</v>
      </c>
      <c r="K87" s="10" t="e">
        <f t="shared" si="3"/>
        <v>#REF!</v>
      </c>
      <c r="L87" s="10"/>
      <c r="M87" s="10"/>
      <c r="N87" s="11"/>
      <c r="O87" s="11"/>
    </row>
    <row r="88" spans="2:15" ht="18" customHeight="1">
      <c r="B88" s="36"/>
      <c r="C88" s="36"/>
      <c r="D88" s="36"/>
      <c r="E88" s="20"/>
      <c r="F88" s="10"/>
      <c r="G88" s="10" t="e">
        <f>'USD 19-21'!#REF!*64.8</f>
        <v>#REF!</v>
      </c>
      <c r="H88" s="104"/>
      <c r="I88" s="104" t="e">
        <f>'USD 19-21'!#REF!*64.8</f>
        <v>#REF!</v>
      </c>
      <c r="J88" s="93">
        <f t="shared" si="2"/>
        <v>0</v>
      </c>
      <c r="K88" s="93" t="e">
        <f t="shared" si="3"/>
        <v>#REF!</v>
      </c>
      <c r="L88" s="10"/>
      <c r="M88" s="10"/>
      <c r="N88" s="11"/>
      <c r="O88" s="11"/>
    </row>
    <row r="89" spans="2:15" ht="18" customHeight="1">
      <c r="B89" s="36"/>
      <c r="C89" s="36"/>
      <c r="D89" s="36"/>
      <c r="E89" s="78" t="s">
        <v>16</v>
      </c>
      <c r="F89" s="93">
        <f aca="true" t="shared" si="11" ref="F89:O89">SUM(F90)</f>
        <v>19969.4</v>
      </c>
      <c r="G89" s="93" t="e">
        <f t="shared" si="11"/>
        <v>#REF!</v>
      </c>
      <c r="H89" s="102">
        <f t="shared" si="11"/>
        <v>19945.8</v>
      </c>
      <c r="I89" s="102" t="e">
        <f t="shared" si="11"/>
        <v>#REF!</v>
      </c>
      <c r="J89" s="93">
        <f t="shared" si="2"/>
        <v>-23.600000000002183</v>
      </c>
      <c r="K89" s="93" t="e">
        <f t="shared" si="3"/>
        <v>#REF!</v>
      </c>
      <c r="L89" s="93">
        <f t="shared" si="11"/>
        <v>23686.5</v>
      </c>
      <c r="M89" s="93" t="e">
        <f t="shared" si="11"/>
        <v>#REF!</v>
      </c>
      <c r="N89" s="93">
        <f t="shared" si="11"/>
        <v>16649.66</v>
      </c>
      <c r="O89" s="93" t="e">
        <f t="shared" si="11"/>
        <v>#REF!</v>
      </c>
    </row>
    <row r="90" spans="2:15" ht="18" customHeight="1">
      <c r="B90" s="36"/>
      <c r="C90" s="36"/>
      <c r="D90" s="36"/>
      <c r="E90" s="79" t="s">
        <v>3</v>
      </c>
      <c r="F90" s="94">
        <f aca="true" t="shared" si="12" ref="F90:O90">SUM(F91:F110)</f>
        <v>19969.4</v>
      </c>
      <c r="G90" s="94" t="e">
        <f t="shared" si="12"/>
        <v>#REF!</v>
      </c>
      <c r="H90" s="103">
        <f>SUM(H91:H110)</f>
        <v>19945.8</v>
      </c>
      <c r="I90" s="103" t="e">
        <f>SUM(I91:I110)</f>
        <v>#REF!</v>
      </c>
      <c r="J90" s="93">
        <f t="shared" si="2"/>
        <v>-23.600000000002183</v>
      </c>
      <c r="K90" s="93" t="e">
        <f t="shared" si="3"/>
        <v>#REF!</v>
      </c>
      <c r="L90" s="94">
        <f t="shared" si="12"/>
        <v>23686.5</v>
      </c>
      <c r="M90" s="94" t="e">
        <f t="shared" si="12"/>
        <v>#REF!</v>
      </c>
      <c r="N90" s="94">
        <f t="shared" si="12"/>
        <v>16649.66</v>
      </c>
      <c r="O90" s="94" t="e">
        <f t="shared" si="12"/>
        <v>#REF!</v>
      </c>
    </row>
    <row r="91" spans="1:15" ht="18" customHeight="1">
      <c r="A91" s="22">
        <v>3111</v>
      </c>
      <c r="B91" s="36">
        <v>41</v>
      </c>
      <c r="C91" s="36">
        <v>911</v>
      </c>
      <c r="D91" s="45">
        <v>70499</v>
      </c>
      <c r="E91" s="20" t="s">
        <v>50</v>
      </c>
      <c r="F91" s="10">
        <f>8132.4+762</f>
        <v>8894.4</v>
      </c>
      <c r="G91" s="10"/>
      <c r="H91" s="104">
        <v>8894.4</v>
      </c>
      <c r="I91" s="104"/>
      <c r="J91" s="93">
        <f t="shared" si="2"/>
        <v>0</v>
      </c>
      <c r="K91" s="93">
        <f t="shared" si="3"/>
        <v>0</v>
      </c>
      <c r="L91" s="10">
        <f>3450+10035.4</f>
        <v>13485.4</v>
      </c>
      <c r="M91" s="10"/>
      <c r="N91" s="10">
        <f>1500+10009.9</f>
        <v>11509.9</v>
      </c>
      <c r="O91" s="11"/>
    </row>
    <row r="92" spans="1:15" ht="18" customHeight="1">
      <c r="A92" s="22">
        <v>3111</v>
      </c>
      <c r="B92" s="36">
        <v>41</v>
      </c>
      <c r="C92" s="36">
        <v>921</v>
      </c>
      <c r="D92" s="45">
        <v>70499</v>
      </c>
      <c r="E92" s="20" t="s">
        <v>51</v>
      </c>
      <c r="F92" s="10"/>
      <c r="G92" s="10" t="e">
        <f>'USD 19-21'!#REF!*64.8</f>
        <v>#REF!</v>
      </c>
      <c r="H92" s="104"/>
      <c r="I92" s="104" t="e">
        <f>'USD 19-21'!#REF!*64.8</f>
        <v>#REF!</v>
      </c>
      <c r="J92" s="93">
        <f t="shared" si="2"/>
        <v>0</v>
      </c>
      <c r="K92" s="93" t="e">
        <f t="shared" si="3"/>
        <v>#REF!</v>
      </c>
      <c r="L92" s="10"/>
      <c r="M92" s="10" t="e">
        <f>'USD 19-21'!#REF!*69.2</f>
        <v>#REF!</v>
      </c>
      <c r="N92" s="11"/>
      <c r="O92" s="11" t="e">
        <f>'USD 19-21'!#REF!*72.4</f>
        <v>#REF!</v>
      </c>
    </row>
    <row r="93" spans="1:15" ht="18" customHeight="1">
      <c r="A93" s="22">
        <v>3111</v>
      </c>
      <c r="B93" s="36">
        <v>41</v>
      </c>
      <c r="C93" s="36">
        <v>931</v>
      </c>
      <c r="D93" s="45">
        <v>70499</v>
      </c>
      <c r="E93" s="113" t="s">
        <v>52</v>
      </c>
      <c r="F93" s="10"/>
      <c r="G93" s="10" t="e">
        <f>'USD 19-21'!#REF!*64.8</f>
        <v>#REF!</v>
      </c>
      <c r="H93" s="104"/>
      <c r="I93" s="104" t="e">
        <f>'USD 19-21'!#REF!*64.8</f>
        <v>#REF!</v>
      </c>
      <c r="J93" s="93">
        <f t="shared" si="2"/>
        <v>0</v>
      </c>
      <c r="K93" s="93" t="e">
        <f t="shared" si="3"/>
        <v>#REF!</v>
      </c>
      <c r="L93" s="10"/>
      <c r="M93" s="10" t="e">
        <f>'USD 19-21'!#REF!*69.2</f>
        <v>#REF!</v>
      </c>
      <c r="N93" s="11"/>
      <c r="O93" s="11" t="e">
        <f>'USD 19-21'!#REF!*72.4</f>
        <v>#REF!</v>
      </c>
    </row>
    <row r="94" spans="1:15" ht="18" customHeight="1">
      <c r="A94" s="22">
        <v>3111</v>
      </c>
      <c r="B94" s="36">
        <v>41</v>
      </c>
      <c r="C94" s="36">
        <v>911</v>
      </c>
      <c r="D94" s="45">
        <v>70499</v>
      </c>
      <c r="E94" s="20" t="s">
        <v>92</v>
      </c>
      <c r="F94" s="10">
        <f>6870+4205</f>
        <v>11075</v>
      </c>
      <c r="G94" s="10"/>
      <c r="H94" s="104">
        <f>6500+4551.4</f>
        <v>11051.4</v>
      </c>
      <c r="I94" s="104"/>
      <c r="J94" s="93">
        <f t="shared" si="2"/>
        <v>-23.600000000000364</v>
      </c>
      <c r="K94" s="93">
        <f t="shared" si="3"/>
        <v>0</v>
      </c>
      <c r="L94" s="10">
        <f>6000+4201.1</f>
        <v>10201.1</v>
      </c>
      <c r="M94" s="10"/>
      <c r="N94" s="10">
        <f>1000+4139.76</f>
        <v>5139.76</v>
      </c>
      <c r="O94" s="11"/>
    </row>
    <row r="95" spans="1:15" ht="18" customHeight="1">
      <c r="A95" s="22">
        <v>3111</v>
      </c>
      <c r="B95" s="36">
        <v>41</v>
      </c>
      <c r="C95" s="36">
        <v>921</v>
      </c>
      <c r="D95" s="45">
        <v>70499</v>
      </c>
      <c r="E95" s="9" t="s">
        <v>223</v>
      </c>
      <c r="F95" s="10"/>
      <c r="G95" s="10" t="e">
        <f>'USD 19-21'!#REF!*64.8</f>
        <v>#REF!</v>
      </c>
      <c r="H95" s="104"/>
      <c r="I95" s="104">
        <f>'USD 19-21'!J59*64.8</f>
        <v>108604.79999999999</v>
      </c>
      <c r="J95" s="93">
        <f t="shared" si="2"/>
        <v>0</v>
      </c>
      <c r="K95" s="93" t="e">
        <f t="shared" si="3"/>
        <v>#REF!</v>
      </c>
      <c r="L95" s="10"/>
      <c r="M95" s="10" t="e">
        <f>'USD 19-21'!#REF!*69.2</f>
        <v>#REF!</v>
      </c>
      <c r="N95" s="11"/>
      <c r="O95" s="11">
        <f>'USD 19-21'!N59*72.4</f>
        <v>0</v>
      </c>
    </row>
    <row r="96" spans="1:15" ht="18" customHeight="1">
      <c r="A96" s="1">
        <v>3111</v>
      </c>
      <c r="B96" s="2">
        <v>41</v>
      </c>
      <c r="C96" s="2">
        <v>921</v>
      </c>
      <c r="D96" s="8">
        <v>70499</v>
      </c>
      <c r="E96" s="9" t="s">
        <v>224</v>
      </c>
      <c r="F96" s="10"/>
      <c r="G96" s="10" t="e">
        <f>'USD 19-21'!#REF!*64.8</f>
        <v>#REF!</v>
      </c>
      <c r="H96" s="104"/>
      <c r="I96" s="104">
        <f>'USD 19-21'!J60*64.8</f>
        <v>6480</v>
      </c>
      <c r="J96" s="93"/>
      <c r="K96" s="93"/>
      <c r="L96" s="10"/>
      <c r="M96" s="10" t="e">
        <f>'USD 19-21'!#REF!*69.2</f>
        <v>#REF!</v>
      </c>
      <c r="N96" s="11"/>
      <c r="O96" s="11">
        <f>'USD 19-21'!N60*72.4</f>
        <v>0</v>
      </c>
    </row>
    <row r="97" spans="1:15" ht="18" customHeight="1">
      <c r="A97" s="22">
        <v>3111</v>
      </c>
      <c r="B97" s="36">
        <v>41</v>
      </c>
      <c r="C97" s="36">
        <v>931</v>
      </c>
      <c r="D97" s="45">
        <v>70499</v>
      </c>
      <c r="E97" s="113" t="s">
        <v>93</v>
      </c>
      <c r="F97" s="10"/>
      <c r="G97" s="10" t="e">
        <f>'USD 19-21'!#REF!*64.8</f>
        <v>#REF!</v>
      </c>
      <c r="H97" s="104"/>
      <c r="I97" s="104">
        <f>'USD 19-21'!J61*64.8</f>
        <v>6480</v>
      </c>
      <c r="J97" s="93">
        <f t="shared" si="2"/>
        <v>0</v>
      </c>
      <c r="K97" s="93" t="e">
        <f t="shared" si="3"/>
        <v>#REF!</v>
      </c>
      <c r="L97" s="10"/>
      <c r="M97" s="10" t="e">
        <f>'USD 19-21'!#REF!*69.2</f>
        <v>#REF!</v>
      </c>
      <c r="N97" s="11"/>
      <c r="O97" s="11">
        <f>'USD 19-21'!N61*72.4</f>
        <v>0</v>
      </c>
    </row>
    <row r="98" spans="1:15" ht="18" customHeight="1">
      <c r="A98" s="22">
        <v>3111</v>
      </c>
      <c r="B98" s="36">
        <v>41</v>
      </c>
      <c r="C98" s="36">
        <v>931</v>
      </c>
      <c r="D98" s="45">
        <v>70499</v>
      </c>
      <c r="E98" s="113" t="s">
        <v>28</v>
      </c>
      <c r="F98" s="10"/>
      <c r="G98" s="10" t="e">
        <f>'USD 19-21'!#REF!*64.8</f>
        <v>#REF!</v>
      </c>
      <c r="H98" s="104"/>
      <c r="I98" s="104" t="e">
        <f>'USD 19-21'!#REF!*64.8</f>
        <v>#REF!</v>
      </c>
      <c r="J98" s="93">
        <f t="shared" si="2"/>
        <v>0</v>
      </c>
      <c r="K98" s="93" t="e">
        <f t="shared" si="3"/>
        <v>#REF!</v>
      </c>
      <c r="L98" s="10"/>
      <c r="M98" s="10"/>
      <c r="N98" s="11"/>
      <c r="O98" s="11"/>
    </row>
    <row r="99" spans="1:15" ht="60" customHeight="1">
      <c r="A99" s="22">
        <v>3111</v>
      </c>
      <c r="B99" s="36">
        <v>41</v>
      </c>
      <c r="C99" s="36">
        <v>921</v>
      </c>
      <c r="D99" s="45">
        <v>70499</v>
      </c>
      <c r="E99" s="20" t="s">
        <v>76</v>
      </c>
      <c r="F99" s="10"/>
      <c r="G99" s="10" t="e">
        <f>'USD 19-21'!#REF!*64.8</f>
        <v>#REF!</v>
      </c>
      <c r="H99" s="104"/>
      <c r="I99" s="104">
        <f>'USD 19-21'!J65*64.8</f>
        <v>421200</v>
      </c>
      <c r="J99" s="93">
        <f t="shared" si="2"/>
        <v>0</v>
      </c>
      <c r="K99" s="93" t="e">
        <f t="shared" si="3"/>
        <v>#REF!</v>
      </c>
      <c r="L99" s="10"/>
      <c r="M99" s="10">
        <f>'USD 19-21'!L65*69.2</f>
        <v>692000</v>
      </c>
      <c r="N99" s="11"/>
      <c r="O99" s="10">
        <f>'USD 19-21'!N65*72.4</f>
        <v>760200.0000000001</v>
      </c>
    </row>
    <row r="100" spans="1:15" ht="33">
      <c r="A100" s="22">
        <v>3111</v>
      </c>
      <c r="B100" s="36">
        <v>41</v>
      </c>
      <c r="C100" s="36">
        <v>921</v>
      </c>
      <c r="D100" s="45">
        <v>70499</v>
      </c>
      <c r="E100" s="20" t="s">
        <v>180</v>
      </c>
      <c r="F100" s="10"/>
      <c r="G100" s="10" t="e">
        <f>'USD 19-21'!#REF!*64.8</f>
        <v>#REF!</v>
      </c>
      <c r="H100" s="104"/>
      <c r="I100" s="104" t="e">
        <f>'USD 19-21'!#REF!*64.8</f>
        <v>#REF!</v>
      </c>
      <c r="J100" s="93">
        <f t="shared" si="2"/>
        <v>0</v>
      </c>
      <c r="K100" s="93" t="e">
        <f t="shared" si="3"/>
        <v>#REF!</v>
      </c>
      <c r="L100" s="10"/>
      <c r="M100" s="10" t="e">
        <f>'USD 19-21'!#REF!*69.2</f>
        <v>#REF!</v>
      </c>
      <c r="N100" s="11"/>
      <c r="O100" s="11"/>
    </row>
    <row r="101" spans="1:15" ht="16.5">
      <c r="A101" s="22">
        <v>3111</v>
      </c>
      <c r="B101" s="36">
        <v>41</v>
      </c>
      <c r="C101" s="36">
        <v>921</v>
      </c>
      <c r="D101" s="45">
        <v>70499</v>
      </c>
      <c r="E101" s="20" t="s">
        <v>135</v>
      </c>
      <c r="F101" s="10"/>
      <c r="G101" s="10" t="e">
        <f>'USD 19-21'!#REF!*64.8</f>
        <v>#REF!</v>
      </c>
      <c r="H101" s="104"/>
      <c r="I101" s="104" t="e">
        <f>'USD 19-21'!#REF!*64.8</f>
        <v>#REF!</v>
      </c>
      <c r="J101" s="93">
        <f t="shared" si="2"/>
        <v>0</v>
      </c>
      <c r="K101" s="93" t="e">
        <f t="shared" si="3"/>
        <v>#REF!</v>
      </c>
      <c r="L101" s="10"/>
      <c r="M101" s="10" t="e">
        <f>'USD 19-21'!#REF!*69.2</f>
        <v>#REF!</v>
      </c>
      <c r="N101" s="11"/>
      <c r="O101" s="11"/>
    </row>
    <row r="102" spans="1:15" ht="16.5">
      <c r="A102" s="22">
        <v>3111</v>
      </c>
      <c r="B102" s="36">
        <v>41</v>
      </c>
      <c r="C102" s="36">
        <v>921</v>
      </c>
      <c r="D102" s="45">
        <v>70499</v>
      </c>
      <c r="E102" s="20" t="s">
        <v>136</v>
      </c>
      <c r="F102" s="10"/>
      <c r="G102" s="10" t="e">
        <f>'USD 19-21'!#REF!*64.8</f>
        <v>#REF!</v>
      </c>
      <c r="H102" s="104"/>
      <c r="I102" s="104" t="e">
        <f>'USD 19-21'!#REF!*64.8</f>
        <v>#REF!</v>
      </c>
      <c r="J102" s="93">
        <f t="shared" si="2"/>
        <v>0</v>
      </c>
      <c r="K102" s="93" t="e">
        <f t="shared" si="3"/>
        <v>#REF!</v>
      </c>
      <c r="L102" s="10"/>
      <c r="M102" s="10" t="e">
        <f>'USD 19-21'!#REF!*69.2</f>
        <v>#REF!</v>
      </c>
      <c r="N102" s="11"/>
      <c r="O102" s="10" t="e">
        <f>'USD 19-21'!#REF!*72.4</f>
        <v>#REF!</v>
      </c>
    </row>
    <row r="103" spans="1:15" ht="16.5">
      <c r="A103" s="22">
        <v>3111</v>
      </c>
      <c r="B103" s="36">
        <v>41</v>
      </c>
      <c r="C103" s="36">
        <v>931</v>
      </c>
      <c r="D103" s="45">
        <v>70499</v>
      </c>
      <c r="E103" s="113" t="s">
        <v>137</v>
      </c>
      <c r="F103" s="10"/>
      <c r="G103" s="10" t="e">
        <f>'USD 19-21'!#REF!*64.8</f>
        <v>#REF!</v>
      </c>
      <c r="H103" s="104"/>
      <c r="I103" s="104" t="e">
        <f>'USD 19-21'!#REF!*64.8</f>
        <v>#REF!</v>
      </c>
      <c r="J103" s="93">
        <f t="shared" si="2"/>
        <v>0</v>
      </c>
      <c r="K103" s="93" t="e">
        <f t="shared" si="3"/>
        <v>#REF!</v>
      </c>
      <c r="L103" s="10"/>
      <c r="M103" s="10" t="e">
        <f>'USD 19-21'!#REF!*69.2</f>
        <v>#REF!</v>
      </c>
      <c r="N103" s="11"/>
      <c r="O103" s="10" t="e">
        <f>'USD 19-21'!#REF!*72.4</f>
        <v>#REF!</v>
      </c>
    </row>
    <row r="104" spans="1:15" ht="18" customHeight="1">
      <c r="A104" s="22">
        <v>3111</v>
      </c>
      <c r="B104" s="36">
        <v>41</v>
      </c>
      <c r="C104" s="36">
        <v>921</v>
      </c>
      <c r="D104" s="45">
        <v>70499</v>
      </c>
      <c r="E104" s="23" t="s">
        <v>55</v>
      </c>
      <c r="F104" s="10"/>
      <c r="G104" s="10" t="e">
        <f>'USD 19-21'!#REF!*64.8</f>
        <v>#REF!</v>
      </c>
      <c r="H104" s="104"/>
      <c r="I104" s="104" t="e">
        <f>'USD 19-21'!#REF!*64.8</f>
        <v>#REF!</v>
      </c>
      <c r="J104" s="93">
        <f t="shared" si="2"/>
        <v>0</v>
      </c>
      <c r="K104" s="93" t="e">
        <f t="shared" si="3"/>
        <v>#REF!</v>
      </c>
      <c r="L104" s="10"/>
      <c r="M104" s="10" t="e">
        <f>'USD 19-21'!#REF!*69.2</f>
        <v>#REF!</v>
      </c>
      <c r="N104" s="11"/>
      <c r="O104" s="10" t="e">
        <f>'USD 19-21'!#REF!*72.4</f>
        <v>#REF!</v>
      </c>
    </row>
    <row r="105" spans="1:15" ht="18" customHeight="1">
      <c r="A105" s="22">
        <v>3111</v>
      </c>
      <c r="B105" s="36">
        <v>41</v>
      </c>
      <c r="C105" s="36">
        <v>931</v>
      </c>
      <c r="D105" s="45">
        <v>70499</v>
      </c>
      <c r="E105" s="115" t="s">
        <v>56</v>
      </c>
      <c r="F105" s="10"/>
      <c r="G105" s="10" t="e">
        <f>'USD 19-21'!#REF!*64.8</f>
        <v>#REF!</v>
      </c>
      <c r="H105" s="104"/>
      <c r="I105" s="104" t="e">
        <f>'USD 19-21'!#REF!*64.8</f>
        <v>#REF!</v>
      </c>
      <c r="J105" s="93">
        <f t="shared" si="2"/>
        <v>0</v>
      </c>
      <c r="K105" s="93" t="e">
        <f t="shared" si="3"/>
        <v>#REF!</v>
      </c>
      <c r="L105" s="10"/>
      <c r="M105" s="10" t="e">
        <f>'USD 19-21'!#REF!*69.2</f>
        <v>#REF!</v>
      </c>
      <c r="N105" s="11"/>
      <c r="O105" s="10" t="e">
        <f>'USD 19-21'!#REF!*72.4</f>
        <v>#REF!</v>
      </c>
    </row>
    <row r="106" spans="1:15" ht="33">
      <c r="A106" s="70">
        <v>3111</v>
      </c>
      <c r="B106" s="64">
        <v>41</v>
      </c>
      <c r="C106" s="64">
        <v>921</v>
      </c>
      <c r="D106" s="67">
        <v>70499</v>
      </c>
      <c r="E106" s="62" t="s">
        <v>192</v>
      </c>
      <c r="F106" s="10"/>
      <c r="G106" s="10" t="e">
        <f>'USD 19-21'!#REF!*64.8</f>
        <v>#REF!</v>
      </c>
      <c r="H106" s="104"/>
      <c r="I106" s="104" t="e">
        <f>'USD 19-21'!#REF!*64.8</f>
        <v>#REF!</v>
      </c>
      <c r="J106" s="93">
        <f t="shared" si="2"/>
        <v>0</v>
      </c>
      <c r="K106" s="93" t="e">
        <f t="shared" si="3"/>
        <v>#REF!</v>
      </c>
      <c r="L106" s="10"/>
      <c r="M106" s="10"/>
      <c r="N106" s="11"/>
      <c r="O106" s="10"/>
    </row>
    <row r="107" spans="1:15" ht="33">
      <c r="A107" s="22">
        <v>3111</v>
      </c>
      <c r="B107" s="36">
        <v>41</v>
      </c>
      <c r="C107" s="36">
        <v>921</v>
      </c>
      <c r="D107" s="45">
        <v>70499</v>
      </c>
      <c r="E107" s="20" t="s">
        <v>130</v>
      </c>
      <c r="F107" s="10"/>
      <c r="G107" s="10" t="e">
        <f>'USD 19-21'!#REF!*64.8</f>
        <v>#REF!</v>
      </c>
      <c r="H107" s="104"/>
      <c r="I107" s="104" t="e">
        <f>'USD 19-21'!#REF!*64.8</f>
        <v>#REF!</v>
      </c>
      <c r="J107" s="93">
        <f t="shared" si="2"/>
        <v>0</v>
      </c>
      <c r="K107" s="93" t="e">
        <f t="shared" si="3"/>
        <v>#REF!</v>
      </c>
      <c r="L107" s="10"/>
      <c r="M107" s="10" t="e">
        <f>'USD 19-21'!#REF!*69.2</f>
        <v>#REF!</v>
      </c>
      <c r="N107" s="11"/>
      <c r="O107" s="11" t="e">
        <f>'USD 19-21'!#REF!*72.4</f>
        <v>#REF!</v>
      </c>
    </row>
    <row r="108" spans="1:15" ht="33">
      <c r="A108" s="22">
        <v>3111</v>
      </c>
      <c r="B108" s="36">
        <v>41</v>
      </c>
      <c r="C108" s="36">
        <v>931</v>
      </c>
      <c r="D108" s="45">
        <v>70499</v>
      </c>
      <c r="E108" s="113" t="s">
        <v>131</v>
      </c>
      <c r="F108" s="10"/>
      <c r="G108" s="10" t="e">
        <f>'USD 19-21'!#REF!*64.8</f>
        <v>#REF!</v>
      </c>
      <c r="H108" s="104"/>
      <c r="I108" s="104" t="e">
        <f>'USD 19-21'!#REF!*64.8</f>
        <v>#REF!</v>
      </c>
      <c r="J108" s="93">
        <f t="shared" si="2"/>
        <v>0</v>
      </c>
      <c r="K108" s="93" t="e">
        <f t="shared" si="3"/>
        <v>#REF!</v>
      </c>
      <c r="L108" s="10"/>
      <c r="M108" s="10" t="e">
        <f>'USD 19-21'!#REF!*69.2</f>
        <v>#REF!</v>
      </c>
      <c r="N108" s="11"/>
      <c r="O108" s="11" t="e">
        <f>'USD 19-21'!#REF!*72.4</f>
        <v>#REF!</v>
      </c>
    </row>
    <row r="109" spans="1:15" ht="33">
      <c r="A109" s="22">
        <v>3111</v>
      </c>
      <c r="B109" s="36">
        <v>41</v>
      </c>
      <c r="C109" s="36">
        <v>931</v>
      </c>
      <c r="D109" s="45">
        <v>70499</v>
      </c>
      <c r="E109" s="113" t="s">
        <v>138</v>
      </c>
      <c r="F109" s="10"/>
      <c r="G109" s="10" t="e">
        <f>'USD 19-21'!#REF!*64.8</f>
        <v>#REF!</v>
      </c>
      <c r="H109" s="104"/>
      <c r="I109" s="104" t="e">
        <f>'USD 19-21'!#REF!*64.8</f>
        <v>#REF!</v>
      </c>
      <c r="J109" s="93">
        <f t="shared" si="2"/>
        <v>0</v>
      </c>
      <c r="K109" s="93" t="e">
        <f t="shared" si="3"/>
        <v>#REF!</v>
      </c>
      <c r="L109" s="10"/>
      <c r="M109" s="10" t="e">
        <f>'USD 19-21'!#REF!*69.2</f>
        <v>#REF!</v>
      </c>
      <c r="N109" s="11"/>
      <c r="O109" s="10" t="e">
        <f>'USD 19-21'!#REF!*72.4</f>
        <v>#REF!</v>
      </c>
    </row>
    <row r="110" spans="1:15" ht="33">
      <c r="A110" s="22">
        <v>3214</v>
      </c>
      <c r="B110" s="36">
        <v>41</v>
      </c>
      <c r="C110" s="36">
        <v>931</v>
      </c>
      <c r="D110" s="45">
        <v>70499</v>
      </c>
      <c r="E110" s="113" t="s">
        <v>72</v>
      </c>
      <c r="F110" s="10"/>
      <c r="G110" s="10" t="e">
        <f>'USD 19-21'!#REF!*64.8</f>
        <v>#REF!</v>
      </c>
      <c r="H110" s="104"/>
      <c r="I110" s="104">
        <f>'USD 19-21'!J66*64.8</f>
        <v>178433.28</v>
      </c>
      <c r="J110" s="93">
        <f t="shared" si="2"/>
        <v>0</v>
      </c>
      <c r="K110" s="93" t="e">
        <f t="shared" si="3"/>
        <v>#REF!</v>
      </c>
      <c r="L110" s="10"/>
      <c r="M110" s="10"/>
      <c r="N110" s="11"/>
      <c r="O110" s="11"/>
    </row>
    <row r="111" spans="2:15" ht="18" customHeight="1">
      <c r="B111" s="36"/>
      <c r="C111" s="36"/>
      <c r="D111" s="36"/>
      <c r="E111" s="24"/>
      <c r="F111" s="10"/>
      <c r="G111" s="10"/>
      <c r="H111" s="104"/>
      <c r="I111" s="104"/>
      <c r="J111" s="93">
        <f t="shared" si="2"/>
        <v>0</v>
      </c>
      <c r="K111" s="93">
        <f t="shared" si="3"/>
        <v>0</v>
      </c>
      <c r="L111" s="10"/>
      <c r="M111" s="10"/>
      <c r="N111" s="11"/>
      <c r="O111" s="11"/>
    </row>
    <row r="112" spans="2:15" ht="18" customHeight="1" hidden="1">
      <c r="B112" s="36"/>
      <c r="C112" s="36"/>
      <c r="D112" s="36"/>
      <c r="E112" s="78"/>
      <c r="F112" s="93"/>
      <c r="G112" s="93"/>
      <c r="H112" s="102"/>
      <c r="I112" s="102"/>
      <c r="J112" s="93"/>
      <c r="K112" s="93"/>
      <c r="L112" s="93"/>
      <c r="M112" s="93"/>
      <c r="N112" s="93"/>
      <c r="O112" s="93"/>
    </row>
    <row r="113" spans="2:15" ht="18" customHeight="1" hidden="1">
      <c r="B113" s="36"/>
      <c r="C113" s="36"/>
      <c r="D113" s="36"/>
      <c r="E113" s="79"/>
      <c r="F113" s="94"/>
      <c r="G113" s="94"/>
      <c r="H113" s="103"/>
      <c r="I113" s="103"/>
      <c r="J113" s="93"/>
      <c r="K113" s="93"/>
      <c r="L113" s="94"/>
      <c r="M113" s="94"/>
      <c r="N113" s="94"/>
      <c r="O113" s="94"/>
    </row>
    <row r="114" spans="2:15" ht="18" customHeight="1" hidden="1">
      <c r="B114" s="36"/>
      <c r="C114" s="36"/>
      <c r="D114" s="36"/>
      <c r="E114" s="20"/>
      <c r="F114" s="10"/>
      <c r="G114" s="10"/>
      <c r="H114" s="104"/>
      <c r="I114" s="104"/>
      <c r="J114" s="93"/>
      <c r="K114" s="93"/>
      <c r="L114" s="10"/>
      <c r="M114" s="10"/>
      <c r="N114" s="11"/>
      <c r="O114" s="11"/>
    </row>
    <row r="115" spans="2:15" ht="18" customHeight="1">
      <c r="B115" s="36"/>
      <c r="C115" s="36"/>
      <c r="D115" s="36"/>
      <c r="E115" s="78" t="s">
        <v>11</v>
      </c>
      <c r="F115" s="93">
        <f aca="true" t="shared" si="13" ref="F115:O115">F116</f>
        <v>1042294.4</v>
      </c>
      <c r="G115" s="93" t="e">
        <f t="shared" si="13"/>
        <v>#REF!</v>
      </c>
      <c r="H115" s="102">
        <f t="shared" si="13"/>
        <v>823076.4199999999</v>
      </c>
      <c r="I115" s="102" t="e">
        <f t="shared" si="13"/>
        <v>#REF!</v>
      </c>
      <c r="J115" s="93">
        <f aca="true" t="shared" si="14" ref="J115:J153">H115-F115</f>
        <v>-219217.9800000001</v>
      </c>
      <c r="K115" s="93" t="e">
        <f aca="true" t="shared" si="15" ref="K115:K153">I115-G115</f>
        <v>#REF!</v>
      </c>
      <c r="L115" s="93">
        <f t="shared" si="13"/>
        <v>686474.55</v>
      </c>
      <c r="M115" s="93" t="e">
        <f t="shared" si="13"/>
        <v>#REF!</v>
      </c>
      <c r="N115" s="93">
        <f t="shared" si="13"/>
        <v>1048649.96</v>
      </c>
      <c r="O115" s="93" t="e">
        <f t="shared" si="13"/>
        <v>#REF!</v>
      </c>
    </row>
    <row r="116" spans="2:15" ht="18" customHeight="1">
      <c r="B116" s="36"/>
      <c r="C116" s="36"/>
      <c r="D116" s="36"/>
      <c r="E116" s="79" t="s">
        <v>3</v>
      </c>
      <c r="F116" s="94">
        <f aca="true" t="shared" si="16" ref="F116:O116">SUM(F117:F153)</f>
        <v>1042294.4</v>
      </c>
      <c r="G116" s="94" t="e">
        <f t="shared" si="16"/>
        <v>#REF!</v>
      </c>
      <c r="H116" s="103">
        <f>SUM(H117:H153)</f>
        <v>823076.4199999999</v>
      </c>
      <c r="I116" s="103" t="e">
        <f>SUM(I117:I153)</f>
        <v>#REF!</v>
      </c>
      <c r="J116" s="93">
        <f t="shared" si="14"/>
        <v>-219217.9800000001</v>
      </c>
      <c r="K116" s="93" t="e">
        <f t="shared" si="15"/>
        <v>#REF!</v>
      </c>
      <c r="L116" s="94">
        <f t="shared" si="16"/>
        <v>686474.55</v>
      </c>
      <c r="M116" s="94" t="e">
        <f t="shared" si="16"/>
        <v>#REF!</v>
      </c>
      <c r="N116" s="94">
        <f t="shared" si="16"/>
        <v>1048649.96</v>
      </c>
      <c r="O116" s="94" t="e">
        <f t="shared" si="16"/>
        <v>#REF!</v>
      </c>
    </row>
    <row r="117" spans="1:15" ht="18" customHeight="1">
      <c r="A117" s="22">
        <v>3111</v>
      </c>
      <c r="B117" s="36">
        <v>43</v>
      </c>
      <c r="C117" s="36">
        <v>910</v>
      </c>
      <c r="D117" s="45">
        <v>70499</v>
      </c>
      <c r="E117" s="19" t="s">
        <v>110</v>
      </c>
      <c r="F117" s="10">
        <v>58498.2</v>
      </c>
      <c r="G117" s="10"/>
      <c r="H117" s="104">
        <v>58498.2</v>
      </c>
      <c r="I117" s="104"/>
      <c r="J117" s="93">
        <f t="shared" si="14"/>
        <v>0</v>
      </c>
      <c r="K117" s="93">
        <f t="shared" si="15"/>
        <v>0</v>
      </c>
      <c r="L117" s="10">
        <v>60000</v>
      </c>
      <c r="M117" s="11"/>
      <c r="N117" s="10">
        <v>20000</v>
      </c>
      <c r="O117" s="11"/>
    </row>
    <row r="118" spans="1:15" ht="16.5">
      <c r="A118" s="22">
        <v>3111</v>
      </c>
      <c r="B118" s="36">
        <v>43</v>
      </c>
      <c r="C118" s="36">
        <v>930</v>
      </c>
      <c r="D118" s="45">
        <v>70499</v>
      </c>
      <c r="E118" s="112" t="s">
        <v>111</v>
      </c>
      <c r="F118" s="10"/>
      <c r="G118" s="10" t="e">
        <f>'USD 19-21'!#REF!*64.8</f>
        <v>#REF!</v>
      </c>
      <c r="H118" s="104"/>
      <c r="I118" s="104">
        <f>'USD 19-21'!J75*64.8</f>
        <v>32400</v>
      </c>
      <c r="J118" s="93">
        <f t="shared" si="14"/>
        <v>0</v>
      </c>
      <c r="K118" s="93" t="e">
        <f t="shared" si="15"/>
        <v>#REF!</v>
      </c>
      <c r="L118" s="10"/>
      <c r="M118" s="10">
        <f>'USD 19-21'!L75*69.2</f>
        <v>0</v>
      </c>
      <c r="N118" s="11"/>
      <c r="O118" s="11">
        <f>'USD 19-21'!N75*72.4</f>
        <v>0</v>
      </c>
    </row>
    <row r="119" spans="1:15" ht="16.5">
      <c r="A119" s="22">
        <v>3111</v>
      </c>
      <c r="B119" s="36">
        <v>43</v>
      </c>
      <c r="C119" s="36">
        <v>930</v>
      </c>
      <c r="D119" s="45">
        <v>70499</v>
      </c>
      <c r="E119" s="112" t="s">
        <v>112</v>
      </c>
      <c r="F119" s="10"/>
      <c r="G119" s="10" t="e">
        <f>'USD 19-21'!#REF!*64.8</f>
        <v>#REF!</v>
      </c>
      <c r="H119" s="104"/>
      <c r="I119" s="104">
        <f>'USD 19-21'!J76*64.8</f>
        <v>29808</v>
      </c>
      <c r="J119" s="93">
        <f t="shared" si="14"/>
        <v>0</v>
      </c>
      <c r="K119" s="93" t="e">
        <f t="shared" si="15"/>
        <v>#REF!</v>
      </c>
      <c r="L119" s="10"/>
      <c r="M119" s="10">
        <f>'USD 19-21'!L76*69.2</f>
        <v>0</v>
      </c>
      <c r="N119" s="11"/>
      <c r="O119" s="11">
        <f>'USD 19-21'!N76*72.4</f>
        <v>0</v>
      </c>
    </row>
    <row r="120" spans="1:15" ht="16.5">
      <c r="A120" s="22">
        <v>3111</v>
      </c>
      <c r="B120" s="36">
        <v>43</v>
      </c>
      <c r="C120" s="36">
        <v>910</v>
      </c>
      <c r="D120" s="45">
        <v>70499</v>
      </c>
      <c r="E120" s="20" t="s">
        <v>37</v>
      </c>
      <c r="F120" s="10">
        <v>58698</v>
      </c>
      <c r="G120" s="10"/>
      <c r="H120" s="104">
        <v>58698</v>
      </c>
      <c r="I120" s="104"/>
      <c r="J120" s="93">
        <f t="shared" si="14"/>
        <v>0</v>
      </c>
      <c r="K120" s="93">
        <f t="shared" si="15"/>
        <v>0</v>
      </c>
      <c r="L120" s="10">
        <v>60000</v>
      </c>
      <c r="M120" s="11"/>
      <c r="N120" s="10">
        <v>60000</v>
      </c>
      <c r="O120" s="11"/>
    </row>
    <row r="121" spans="1:15" ht="33">
      <c r="A121" s="22">
        <v>3111</v>
      </c>
      <c r="B121" s="36">
        <v>43</v>
      </c>
      <c r="C121" s="36">
        <v>930</v>
      </c>
      <c r="D121" s="45">
        <v>70499</v>
      </c>
      <c r="E121" s="113" t="s">
        <v>113</v>
      </c>
      <c r="F121" s="10"/>
      <c r="G121" s="10" t="e">
        <f>'USD 19-21'!#REF!*64.8</f>
        <v>#REF!</v>
      </c>
      <c r="H121" s="104"/>
      <c r="I121" s="104" t="e">
        <f>'USD 19-21'!#REF!*64.8</f>
        <v>#REF!</v>
      </c>
      <c r="J121" s="93">
        <f t="shared" si="14"/>
        <v>0</v>
      </c>
      <c r="K121" s="93" t="e">
        <f t="shared" si="15"/>
        <v>#REF!</v>
      </c>
      <c r="L121" s="10"/>
      <c r="M121" s="10" t="e">
        <f>'USD 19-21'!#REF!*69.2</f>
        <v>#REF!</v>
      </c>
      <c r="N121" s="11"/>
      <c r="O121" s="11" t="e">
        <f>'USD 19-21'!#REF!*72.4</f>
        <v>#REF!</v>
      </c>
    </row>
    <row r="122" spans="1:15" ht="33">
      <c r="A122" s="63">
        <v>3111</v>
      </c>
      <c r="B122" s="64">
        <v>43</v>
      </c>
      <c r="C122" s="64">
        <v>910</v>
      </c>
      <c r="D122" s="65">
        <v>70499</v>
      </c>
      <c r="E122" s="62" t="s">
        <v>195</v>
      </c>
      <c r="F122" s="10"/>
      <c r="G122" s="10"/>
      <c r="H122" s="104"/>
      <c r="I122" s="104"/>
      <c r="J122" s="93">
        <f t="shared" si="14"/>
        <v>0</v>
      </c>
      <c r="K122" s="93">
        <f t="shared" si="15"/>
        <v>0</v>
      </c>
      <c r="L122" s="10">
        <v>40000</v>
      </c>
      <c r="M122" s="10"/>
      <c r="N122" s="11">
        <v>80000</v>
      </c>
      <c r="O122" s="11"/>
    </row>
    <row r="123" spans="1:15" ht="33">
      <c r="A123" s="63">
        <v>3111</v>
      </c>
      <c r="B123" s="64">
        <v>43</v>
      </c>
      <c r="C123" s="64">
        <v>930</v>
      </c>
      <c r="D123" s="65">
        <v>70499</v>
      </c>
      <c r="E123" s="113" t="s">
        <v>193</v>
      </c>
      <c r="F123" s="10"/>
      <c r="G123" s="10"/>
      <c r="H123" s="104"/>
      <c r="I123" s="104"/>
      <c r="J123" s="93">
        <f t="shared" si="14"/>
        <v>0</v>
      </c>
      <c r="K123" s="93">
        <f t="shared" si="15"/>
        <v>0</v>
      </c>
      <c r="L123" s="10"/>
      <c r="M123" s="10">
        <f>'USD 19-21'!L80*69.2</f>
        <v>242200</v>
      </c>
      <c r="N123" s="11"/>
      <c r="O123" s="11">
        <f>'USD 19-21'!N80*72.4</f>
        <v>253400.00000000003</v>
      </c>
    </row>
    <row r="124" spans="1:15" ht="33">
      <c r="A124" s="63">
        <v>3111</v>
      </c>
      <c r="B124" s="64">
        <v>43</v>
      </c>
      <c r="C124" s="64">
        <v>930</v>
      </c>
      <c r="D124" s="65">
        <v>70499</v>
      </c>
      <c r="E124" s="113" t="s">
        <v>194</v>
      </c>
      <c r="F124" s="10"/>
      <c r="G124" s="10"/>
      <c r="H124" s="104"/>
      <c r="I124" s="104"/>
      <c r="J124" s="93">
        <f t="shared" si="14"/>
        <v>0</v>
      </c>
      <c r="K124" s="93">
        <f t="shared" si="15"/>
        <v>0</v>
      </c>
      <c r="L124" s="10"/>
      <c r="M124" s="10">
        <f>'USD 19-21'!L81*69.2</f>
        <v>415200</v>
      </c>
      <c r="N124" s="11"/>
      <c r="O124" s="11">
        <f>'USD 19-21'!N81*72.4</f>
        <v>398200.00000000006</v>
      </c>
    </row>
    <row r="125" spans="1:15" ht="33">
      <c r="A125" s="22">
        <v>3111</v>
      </c>
      <c r="B125" s="40">
        <v>43</v>
      </c>
      <c r="C125" s="40">
        <v>910</v>
      </c>
      <c r="D125" s="45">
        <v>70499</v>
      </c>
      <c r="E125" s="19" t="s">
        <v>109</v>
      </c>
      <c r="F125" s="10">
        <v>95497.5</v>
      </c>
      <c r="G125" s="10"/>
      <c r="H125" s="104">
        <v>95497.5</v>
      </c>
      <c r="I125" s="104"/>
      <c r="J125" s="93">
        <f t="shared" si="14"/>
        <v>0</v>
      </c>
      <c r="K125" s="93">
        <f t="shared" si="15"/>
        <v>0</v>
      </c>
      <c r="L125" s="10">
        <v>95000</v>
      </c>
      <c r="M125" s="11"/>
      <c r="N125" s="10"/>
      <c r="O125" s="11"/>
    </row>
    <row r="126" spans="1:15" ht="16.5">
      <c r="A126" s="22">
        <v>3111</v>
      </c>
      <c r="B126" s="40">
        <v>43</v>
      </c>
      <c r="C126" s="40">
        <v>930</v>
      </c>
      <c r="D126" s="45">
        <v>70499</v>
      </c>
      <c r="E126" s="112" t="s">
        <v>44</v>
      </c>
      <c r="F126" s="10"/>
      <c r="G126" s="10" t="e">
        <f>'USD 19-21'!#REF!*64.8</f>
        <v>#REF!</v>
      </c>
      <c r="H126" s="104"/>
      <c r="I126" s="104" t="e">
        <f>'USD 19-21'!#REF!*64.8</f>
        <v>#REF!</v>
      </c>
      <c r="J126" s="93">
        <f t="shared" si="14"/>
        <v>0</v>
      </c>
      <c r="K126" s="93" t="e">
        <f t="shared" si="15"/>
        <v>#REF!</v>
      </c>
      <c r="L126" s="14"/>
      <c r="M126" s="10" t="e">
        <f>'USD 19-21'!#REF!*69.2</f>
        <v>#REF!</v>
      </c>
      <c r="N126" s="11"/>
      <c r="O126" s="10"/>
    </row>
    <row r="127" spans="1:15" ht="16.5">
      <c r="A127" s="22">
        <v>3111</v>
      </c>
      <c r="B127" s="40">
        <v>43</v>
      </c>
      <c r="C127" s="40">
        <v>930</v>
      </c>
      <c r="D127" s="45">
        <v>70499</v>
      </c>
      <c r="E127" s="112" t="s">
        <v>45</v>
      </c>
      <c r="F127" s="10"/>
      <c r="G127" s="10" t="e">
        <f>'USD 19-21'!#REF!*64.8</f>
        <v>#REF!</v>
      </c>
      <c r="H127" s="104"/>
      <c r="I127" s="104">
        <f>'USD 19-21'!J83*64.8</f>
        <v>19440</v>
      </c>
      <c r="J127" s="93">
        <f t="shared" si="14"/>
        <v>0</v>
      </c>
      <c r="K127" s="93" t="e">
        <f t="shared" si="15"/>
        <v>#REF!</v>
      </c>
      <c r="L127" s="14"/>
      <c r="M127" s="10">
        <f>'USD 19-21'!L83*69.2</f>
        <v>0</v>
      </c>
      <c r="N127" s="11"/>
      <c r="O127" s="10"/>
    </row>
    <row r="128" spans="1:15" ht="16.5">
      <c r="A128" s="22">
        <v>3111</v>
      </c>
      <c r="B128" s="40">
        <v>43</v>
      </c>
      <c r="C128" s="40">
        <v>930</v>
      </c>
      <c r="D128" s="45">
        <v>70499</v>
      </c>
      <c r="E128" s="112" t="s">
        <v>114</v>
      </c>
      <c r="F128" s="10"/>
      <c r="G128" s="10" t="e">
        <f>'USD 19-21'!#REF!*64.8</f>
        <v>#REF!</v>
      </c>
      <c r="H128" s="104"/>
      <c r="I128" s="104">
        <f>'USD 19-21'!J84*64.8</f>
        <v>4536</v>
      </c>
      <c r="J128" s="93">
        <f t="shared" si="14"/>
        <v>0</v>
      </c>
      <c r="K128" s="93" t="e">
        <f t="shared" si="15"/>
        <v>#REF!</v>
      </c>
      <c r="L128" s="14"/>
      <c r="M128" s="10">
        <f>'USD 19-21'!L84*69.2</f>
        <v>0</v>
      </c>
      <c r="N128" s="11"/>
      <c r="O128" s="10"/>
    </row>
    <row r="129" spans="1:15" ht="16.5">
      <c r="A129" s="22">
        <v>3111</v>
      </c>
      <c r="B129" s="40">
        <v>43</v>
      </c>
      <c r="C129" s="40">
        <v>930</v>
      </c>
      <c r="D129" s="45">
        <v>70499</v>
      </c>
      <c r="E129" s="112" t="s">
        <v>47</v>
      </c>
      <c r="F129" s="10"/>
      <c r="G129" s="10" t="e">
        <f>'USD 19-21'!#REF!*64.8</f>
        <v>#REF!</v>
      </c>
      <c r="H129" s="104"/>
      <c r="I129" s="104">
        <f>'USD 19-21'!J85*64.8</f>
        <v>2766.96</v>
      </c>
      <c r="J129" s="93">
        <f t="shared" si="14"/>
        <v>0</v>
      </c>
      <c r="K129" s="93" t="e">
        <f t="shared" si="15"/>
        <v>#REF!</v>
      </c>
      <c r="L129" s="14"/>
      <c r="M129" s="10">
        <f>'USD 19-21'!L85*69.2</f>
        <v>0</v>
      </c>
      <c r="N129" s="11"/>
      <c r="O129" s="10"/>
    </row>
    <row r="130" spans="1:15" ht="16.5">
      <c r="A130" s="22">
        <v>3111</v>
      </c>
      <c r="B130" s="40">
        <v>43</v>
      </c>
      <c r="C130" s="40">
        <v>930</v>
      </c>
      <c r="D130" s="45">
        <v>70499</v>
      </c>
      <c r="E130" s="112" t="s">
        <v>46</v>
      </c>
      <c r="F130" s="10"/>
      <c r="G130" s="10" t="e">
        <f>'USD 19-21'!#REF!*64.8</f>
        <v>#REF!</v>
      </c>
      <c r="H130" s="104"/>
      <c r="I130" s="104">
        <f>'USD 19-21'!J86*64.8</f>
        <v>5216.4</v>
      </c>
      <c r="J130" s="93">
        <f t="shared" si="14"/>
        <v>0</v>
      </c>
      <c r="K130" s="93" t="e">
        <f t="shared" si="15"/>
        <v>#REF!</v>
      </c>
      <c r="L130" s="14"/>
      <c r="M130" s="10">
        <f>'USD 19-21'!L86*69.2</f>
        <v>0</v>
      </c>
      <c r="N130" s="11"/>
      <c r="O130" s="10"/>
    </row>
    <row r="131" spans="1:15" ht="33">
      <c r="A131" s="63">
        <v>3111</v>
      </c>
      <c r="B131" s="67">
        <v>43</v>
      </c>
      <c r="C131" s="67">
        <v>910</v>
      </c>
      <c r="D131" s="65">
        <v>70499</v>
      </c>
      <c r="E131" s="68" t="s">
        <v>115</v>
      </c>
      <c r="F131" s="10">
        <v>5000</v>
      </c>
      <c r="G131" s="10"/>
      <c r="H131" s="104">
        <v>5000</v>
      </c>
      <c r="I131" s="104"/>
      <c r="J131" s="93">
        <f t="shared" si="14"/>
        <v>0</v>
      </c>
      <c r="K131" s="93">
        <f t="shared" si="15"/>
        <v>0</v>
      </c>
      <c r="L131" s="14"/>
      <c r="M131" s="10"/>
      <c r="N131" s="11"/>
      <c r="O131" s="10"/>
    </row>
    <row r="132" spans="1:15" ht="33">
      <c r="A132" s="63">
        <v>3111</v>
      </c>
      <c r="B132" s="67">
        <v>43</v>
      </c>
      <c r="C132" s="67">
        <v>930</v>
      </c>
      <c r="D132" s="65">
        <v>70499</v>
      </c>
      <c r="E132" s="112" t="s">
        <v>116</v>
      </c>
      <c r="F132" s="10"/>
      <c r="G132" s="10" t="e">
        <f>'USD 19-21'!#REF!*64.8</f>
        <v>#REF!</v>
      </c>
      <c r="H132" s="104"/>
      <c r="I132" s="104" t="e">
        <f>'USD 19-21'!#REF!*64.8</f>
        <v>#REF!</v>
      </c>
      <c r="J132" s="93">
        <f t="shared" si="14"/>
        <v>0</v>
      </c>
      <c r="K132" s="93" t="e">
        <f t="shared" si="15"/>
        <v>#REF!</v>
      </c>
      <c r="L132" s="14"/>
      <c r="M132" s="10"/>
      <c r="N132" s="11"/>
      <c r="O132" s="10"/>
    </row>
    <row r="133" spans="1:15" ht="32.25" customHeight="1">
      <c r="A133" s="22">
        <v>3111</v>
      </c>
      <c r="B133" s="40">
        <v>43</v>
      </c>
      <c r="C133" s="40">
        <v>910</v>
      </c>
      <c r="D133" s="45">
        <v>70499</v>
      </c>
      <c r="E133" s="19" t="s">
        <v>205</v>
      </c>
      <c r="F133" s="10">
        <f>141600-5000</f>
        <v>136600</v>
      </c>
      <c r="G133" s="10"/>
      <c r="H133" s="104">
        <v>250000</v>
      </c>
      <c r="I133" s="104"/>
      <c r="J133" s="93">
        <f t="shared" si="14"/>
        <v>113400</v>
      </c>
      <c r="K133" s="93">
        <f t="shared" si="15"/>
        <v>0</v>
      </c>
      <c r="L133" s="10">
        <v>1000</v>
      </c>
      <c r="M133" s="11"/>
      <c r="N133" s="10"/>
      <c r="O133" s="10"/>
    </row>
    <row r="134" spans="1:15" ht="32.25" customHeight="1">
      <c r="A134" s="63">
        <v>3111</v>
      </c>
      <c r="B134" s="67">
        <v>43</v>
      </c>
      <c r="C134" s="67">
        <v>920</v>
      </c>
      <c r="D134" s="65">
        <v>70499</v>
      </c>
      <c r="E134" s="68" t="s">
        <v>207</v>
      </c>
      <c r="F134" s="10"/>
      <c r="G134" s="10" t="e">
        <f>'USD 19-21'!#REF!*64.8</f>
        <v>#REF!</v>
      </c>
      <c r="H134" s="104"/>
      <c r="I134" s="104" t="e">
        <f>'USD 19-21'!#REF!*64.8</f>
        <v>#REF!</v>
      </c>
      <c r="J134" s="93">
        <f t="shared" si="14"/>
        <v>0</v>
      </c>
      <c r="K134" s="93" t="e">
        <f t="shared" si="15"/>
        <v>#REF!</v>
      </c>
      <c r="L134" s="10"/>
      <c r="M134" s="11"/>
      <c r="N134" s="10"/>
      <c r="O134" s="10"/>
    </row>
    <row r="135" spans="1:15" ht="32.25" customHeight="1">
      <c r="A135" s="22">
        <v>3111</v>
      </c>
      <c r="B135" s="40">
        <v>43</v>
      </c>
      <c r="C135" s="40">
        <v>930</v>
      </c>
      <c r="D135" s="45">
        <v>70499</v>
      </c>
      <c r="E135" s="112" t="s">
        <v>206</v>
      </c>
      <c r="F135" s="10"/>
      <c r="G135" s="10" t="e">
        <f>'USD 19-21'!#REF!*64.8</f>
        <v>#REF!</v>
      </c>
      <c r="H135" s="104"/>
      <c r="I135" s="104" t="e">
        <f>'USD 19-21'!#REF!*64.8</f>
        <v>#REF!</v>
      </c>
      <c r="J135" s="93">
        <f t="shared" si="14"/>
        <v>0</v>
      </c>
      <c r="K135" s="93" t="e">
        <f t="shared" si="15"/>
        <v>#REF!</v>
      </c>
      <c r="L135" s="10"/>
      <c r="M135" s="10"/>
      <c r="N135" s="10"/>
      <c r="O135" s="10"/>
    </row>
    <row r="136" spans="1:15" ht="33">
      <c r="A136" s="22">
        <v>3111</v>
      </c>
      <c r="B136" s="40">
        <v>43</v>
      </c>
      <c r="C136" s="40">
        <v>930</v>
      </c>
      <c r="D136" s="45">
        <v>70499</v>
      </c>
      <c r="E136" s="112" t="s">
        <v>117</v>
      </c>
      <c r="F136" s="10"/>
      <c r="G136" s="10" t="e">
        <f>'USD 19-21'!#REF!*64.8</f>
        <v>#REF!</v>
      </c>
      <c r="H136" s="104"/>
      <c r="I136" s="104" t="e">
        <f>'USD 19-21'!#REF!*64.8</f>
        <v>#REF!</v>
      </c>
      <c r="J136" s="93">
        <f t="shared" si="14"/>
        <v>0</v>
      </c>
      <c r="K136" s="93" t="e">
        <f t="shared" si="15"/>
        <v>#REF!</v>
      </c>
      <c r="L136" s="10"/>
      <c r="M136" s="10" t="e">
        <f>'USD 19-21'!#REF!*69.2</f>
        <v>#REF!</v>
      </c>
      <c r="N136" s="10"/>
      <c r="O136" s="10"/>
    </row>
    <row r="137" spans="1:15" ht="33">
      <c r="A137" s="22">
        <v>3111</v>
      </c>
      <c r="B137" s="40">
        <v>43</v>
      </c>
      <c r="C137" s="40">
        <v>910</v>
      </c>
      <c r="D137" s="45">
        <v>70499</v>
      </c>
      <c r="E137" s="19" t="s">
        <v>118</v>
      </c>
      <c r="F137" s="10">
        <v>99840</v>
      </c>
      <c r="G137" s="10"/>
      <c r="H137" s="104">
        <v>99840</v>
      </c>
      <c r="I137" s="104"/>
      <c r="J137" s="93">
        <f t="shared" si="14"/>
        <v>0</v>
      </c>
      <c r="K137" s="93">
        <f t="shared" si="15"/>
        <v>0</v>
      </c>
      <c r="L137" s="10">
        <v>148720</v>
      </c>
      <c r="M137" s="11"/>
      <c r="N137" s="10">
        <v>248720</v>
      </c>
      <c r="O137" s="11"/>
    </row>
    <row r="138" spans="1:15" ht="33">
      <c r="A138" s="22">
        <v>3111</v>
      </c>
      <c r="B138" s="40">
        <v>43</v>
      </c>
      <c r="C138" s="40">
        <v>920</v>
      </c>
      <c r="D138" s="45">
        <v>70499</v>
      </c>
      <c r="E138" s="19" t="s">
        <v>119</v>
      </c>
      <c r="F138" s="10"/>
      <c r="G138" s="10" t="e">
        <f>'USD 19-21'!#REF!*64.8</f>
        <v>#REF!</v>
      </c>
      <c r="H138" s="104"/>
      <c r="I138" s="104">
        <f>'USD 19-21'!J88*64.8</f>
        <v>356400</v>
      </c>
      <c r="J138" s="93">
        <f t="shared" si="14"/>
        <v>0</v>
      </c>
      <c r="K138" s="93" t="e">
        <f t="shared" si="15"/>
        <v>#REF!</v>
      </c>
      <c r="L138" s="10"/>
      <c r="M138" s="10">
        <f>'USD 19-21'!L88*69.2</f>
        <v>330630.68</v>
      </c>
      <c r="N138" s="10"/>
      <c r="O138" s="10">
        <f>'USD 19-21'!N88*72.4</f>
        <v>32536.56</v>
      </c>
    </row>
    <row r="139" spans="1:15" ht="33">
      <c r="A139" s="22">
        <v>3111</v>
      </c>
      <c r="B139" s="40">
        <v>43</v>
      </c>
      <c r="C139" s="40">
        <v>930</v>
      </c>
      <c r="D139" s="45">
        <v>70499</v>
      </c>
      <c r="E139" s="112" t="s">
        <v>120</v>
      </c>
      <c r="F139" s="10"/>
      <c r="G139" s="10" t="e">
        <f>'USD 19-21'!#REF!*64.8</f>
        <v>#REF!</v>
      </c>
      <c r="H139" s="104"/>
      <c r="I139" s="104">
        <f>'USD 19-21'!J89*64.8</f>
        <v>777600</v>
      </c>
      <c r="J139" s="93">
        <f t="shared" si="14"/>
        <v>0</v>
      </c>
      <c r="K139" s="93" t="e">
        <f t="shared" si="15"/>
        <v>#REF!</v>
      </c>
      <c r="L139" s="10"/>
      <c r="M139" s="10">
        <f>'USD 19-21'!L89*69.2</f>
        <v>868432.3200000001</v>
      </c>
      <c r="N139" s="10"/>
      <c r="O139" s="10">
        <f>'USD 19-21'!N89*72.4</f>
        <v>86880</v>
      </c>
    </row>
    <row r="140" spans="1:15" ht="16.5">
      <c r="A140" s="22">
        <v>3111</v>
      </c>
      <c r="B140" s="40">
        <v>43</v>
      </c>
      <c r="C140" s="40">
        <v>910</v>
      </c>
      <c r="D140" s="45">
        <v>70499</v>
      </c>
      <c r="E140" s="19" t="s">
        <v>121</v>
      </c>
      <c r="F140" s="10">
        <v>382000.7</v>
      </c>
      <c r="G140" s="10"/>
      <c r="H140" s="104">
        <f>292597.75-132477.8</f>
        <v>160119.95</v>
      </c>
      <c r="I140" s="104"/>
      <c r="J140" s="93">
        <f t="shared" si="14"/>
        <v>-221880.75</v>
      </c>
      <c r="K140" s="93">
        <f t="shared" si="15"/>
        <v>0</v>
      </c>
      <c r="L140" s="10">
        <v>128433.75</v>
      </c>
      <c r="M140" s="11"/>
      <c r="N140" s="10">
        <v>134811.15</v>
      </c>
      <c r="O140" s="10"/>
    </row>
    <row r="141" spans="1:15" ht="33">
      <c r="A141" s="22">
        <v>3111</v>
      </c>
      <c r="B141" s="40">
        <v>43</v>
      </c>
      <c r="C141" s="40">
        <v>930</v>
      </c>
      <c r="D141" s="45">
        <v>70499</v>
      </c>
      <c r="E141" s="112" t="s">
        <v>122</v>
      </c>
      <c r="F141" s="10"/>
      <c r="G141" s="10" t="e">
        <f>'USD 19-21'!#REF!*64.8</f>
        <v>#REF!</v>
      </c>
      <c r="H141" s="104"/>
      <c r="I141" s="104">
        <f>'USD 19-21'!J91*64.8</f>
        <v>615600</v>
      </c>
      <c r="J141" s="93">
        <f t="shared" si="14"/>
        <v>0</v>
      </c>
      <c r="K141" s="93" t="e">
        <f t="shared" si="15"/>
        <v>#REF!</v>
      </c>
      <c r="L141" s="10"/>
      <c r="M141" s="10"/>
      <c r="N141" s="10"/>
      <c r="O141" s="10"/>
    </row>
    <row r="142" spans="1:15" ht="33">
      <c r="A142" s="22">
        <v>3111</v>
      </c>
      <c r="B142" s="40">
        <v>43</v>
      </c>
      <c r="C142" s="40">
        <v>910</v>
      </c>
      <c r="D142" s="45">
        <v>70499</v>
      </c>
      <c r="E142" s="19" t="s">
        <v>123</v>
      </c>
      <c r="F142" s="10">
        <v>93600</v>
      </c>
      <c r="G142" s="10"/>
      <c r="H142" s="104">
        <v>65512.77</v>
      </c>
      <c r="I142" s="104"/>
      <c r="J142" s="93">
        <f t="shared" si="14"/>
        <v>-28087.230000000003</v>
      </c>
      <c r="K142" s="93">
        <f t="shared" si="15"/>
        <v>0</v>
      </c>
      <c r="L142" s="10">
        <v>140400</v>
      </c>
      <c r="M142" s="11"/>
      <c r="N142" s="10">
        <v>131400</v>
      </c>
      <c r="O142" s="10"/>
    </row>
    <row r="143" spans="1:15" ht="33">
      <c r="A143" s="22">
        <v>3111</v>
      </c>
      <c r="B143" s="40">
        <v>43</v>
      </c>
      <c r="C143" s="40">
        <v>920</v>
      </c>
      <c r="D143" s="45">
        <v>70499</v>
      </c>
      <c r="E143" s="19" t="s">
        <v>124</v>
      </c>
      <c r="F143" s="10"/>
      <c r="G143" s="10" t="e">
        <f>'USD 19-21'!#REF!*64.8</f>
        <v>#REF!</v>
      </c>
      <c r="H143" s="104"/>
      <c r="I143" s="104">
        <f>'USD 19-21'!J94*64.8</f>
        <v>226800</v>
      </c>
      <c r="J143" s="93">
        <f t="shared" si="14"/>
        <v>0</v>
      </c>
      <c r="K143" s="93" t="e">
        <f t="shared" si="15"/>
        <v>#REF!</v>
      </c>
      <c r="L143" s="10"/>
      <c r="M143" s="10">
        <f>'USD 19-21'!L94*69.2</f>
        <v>0</v>
      </c>
      <c r="N143" s="10"/>
      <c r="O143" s="10">
        <f>'USD 19-21'!N94*72.4</f>
        <v>0</v>
      </c>
    </row>
    <row r="144" spans="1:15" ht="33">
      <c r="A144" s="22">
        <v>3111</v>
      </c>
      <c r="B144" s="40">
        <v>43</v>
      </c>
      <c r="C144" s="40">
        <v>930</v>
      </c>
      <c r="D144" s="45">
        <v>70499</v>
      </c>
      <c r="E144" s="112" t="s">
        <v>125</v>
      </c>
      <c r="F144" s="10"/>
      <c r="G144" s="10" t="e">
        <f>'USD 19-21'!#REF!*64.8</f>
        <v>#REF!</v>
      </c>
      <c r="H144" s="104"/>
      <c r="I144" s="104">
        <f>'USD 19-21'!I92*64.8</f>
        <v>9720</v>
      </c>
      <c r="J144" s="93">
        <f t="shared" si="14"/>
        <v>0</v>
      </c>
      <c r="K144" s="93" t="e">
        <f t="shared" si="15"/>
        <v>#REF!</v>
      </c>
      <c r="L144" s="10"/>
      <c r="M144" s="10">
        <f>'USD 19-21'!K92*69.2</f>
        <v>0</v>
      </c>
      <c r="N144" s="10"/>
      <c r="O144" s="10">
        <f>'USD 19-21'!M92*72.4</f>
        <v>0</v>
      </c>
    </row>
    <row r="145" spans="1:15" ht="16.5">
      <c r="A145" s="22">
        <v>3111</v>
      </c>
      <c r="B145" s="40">
        <v>43</v>
      </c>
      <c r="C145" s="40">
        <v>930</v>
      </c>
      <c r="D145" s="40">
        <v>70499</v>
      </c>
      <c r="E145" s="112" t="s">
        <v>97</v>
      </c>
      <c r="F145" s="10"/>
      <c r="G145" s="10" t="e">
        <f>'USD 19-21'!#REF!*64.8</f>
        <v>#REF!</v>
      </c>
      <c r="H145" s="104"/>
      <c r="I145" s="104">
        <f>'USD 19-21'!J95*64.8</f>
        <v>2591928.72</v>
      </c>
      <c r="J145" s="93">
        <f t="shared" si="14"/>
        <v>0</v>
      </c>
      <c r="K145" s="93" t="e">
        <f t="shared" si="15"/>
        <v>#REF!</v>
      </c>
      <c r="L145" s="10"/>
      <c r="M145" s="10">
        <f>'USD 19-21'!L95*69.2</f>
        <v>0</v>
      </c>
      <c r="N145" s="10"/>
      <c r="O145" s="10">
        <f>'USD 19-21'!N95*72.4</f>
        <v>0</v>
      </c>
    </row>
    <row r="146" spans="1:15" ht="33">
      <c r="A146" s="22">
        <v>3111</v>
      </c>
      <c r="B146" s="40">
        <v>43</v>
      </c>
      <c r="C146" s="40">
        <v>930</v>
      </c>
      <c r="D146" s="40">
        <v>70499</v>
      </c>
      <c r="E146" s="112" t="s">
        <v>96</v>
      </c>
      <c r="F146" s="10"/>
      <c r="G146" s="10" t="e">
        <f>'USD 19-21'!#REF!*64.8</f>
        <v>#REF!</v>
      </c>
      <c r="H146" s="104"/>
      <c r="I146" s="104">
        <f>'USD 19-21'!J96*64.8</f>
        <v>3872409.12</v>
      </c>
      <c r="J146" s="93">
        <f t="shared" si="14"/>
        <v>0</v>
      </c>
      <c r="K146" s="93" t="e">
        <f t="shared" si="15"/>
        <v>#REF!</v>
      </c>
      <c r="L146" s="10"/>
      <c r="M146" s="10">
        <f>'USD 19-21'!L96*69.2</f>
        <v>1033841.0800000001</v>
      </c>
      <c r="N146" s="10"/>
      <c r="O146" s="10">
        <f>'USD 19-21'!N96*72.4</f>
        <v>0</v>
      </c>
    </row>
    <row r="147" spans="1:15" ht="33">
      <c r="A147" s="22">
        <v>3111</v>
      </c>
      <c r="B147" s="40">
        <v>43</v>
      </c>
      <c r="C147" s="40">
        <v>910</v>
      </c>
      <c r="D147" s="40">
        <v>70499</v>
      </c>
      <c r="E147" s="19" t="s">
        <v>159</v>
      </c>
      <c r="F147" s="10">
        <v>103200</v>
      </c>
      <c r="G147" s="10"/>
      <c r="H147" s="104">
        <v>20550</v>
      </c>
      <c r="I147" s="104"/>
      <c r="J147" s="93">
        <f t="shared" si="14"/>
        <v>-82650</v>
      </c>
      <c r="K147" s="93">
        <f t="shared" si="15"/>
        <v>0</v>
      </c>
      <c r="L147" s="10"/>
      <c r="M147" s="10"/>
      <c r="N147" s="10"/>
      <c r="O147" s="10"/>
    </row>
    <row r="148" spans="1:15" ht="33">
      <c r="A148" s="22">
        <v>3111</v>
      </c>
      <c r="B148" s="40">
        <v>43</v>
      </c>
      <c r="C148" s="40">
        <v>920</v>
      </c>
      <c r="D148" s="40">
        <v>70499</v>
      </c>
      <c r="E148" s="19" t="s">
        <v>157</v>
      </c>
      <c r="F148" s="10"/>
      <c r="G148" s="10" t="e">
        <f>'USD 19-21'!#REF!*64.8</f>
        <v>#REF!</v>
      </c>
      <c r="H148" s="104"/>
      <c r="I148" s="104">
        <f>'USD 19-21'!L98*64.8</f>
        <v>369360</v>
      </c>
      <c r="J148" s="93">
        <f t="shared" si="14"/>
        <v>0</v>
      </c>
      <c r="K148" s="93" t="e">
        <f t="shared" si="15"/>
        <v>#REF!</v>
      </c>
      <c r="L148" s="10"/>
      <c r="M148" s="10" t="e">
        <f>'USD 19-21'!#REF!*69.2</f>
        <v>#REF!</v>
      </c>
      <c r="N148" s="10"/>
      <c r="O148" s="10">
        <f>'USD 19-21'!N98*72.4</f>
        <v>115840.00000000001</v>
      </c>
    </row>
    <row r="149" spans="1:15" ht="33">
      <c r="A149" s="22">
        <v>3111</v>
      </c>
      <c r="B149" s="40">
        <v>43</v>
      </c>
      <c r="C149" s="40">
        <v>930</v>
      </c>
      <c r="D149" s="40">
        <v>70499</v>
      </c>
      <c r="E149" s="112" t="s">
        <v>158</v>
      </c>
      <c r="F149" s="10"/>
      <c r="G149" s="10" t="e">
        <f>'USD 19-21'!#REF!*64.8</f>
        <v>#REF!</v>
      </c>
      <c r="H149" s="104"/>
      <c r="I149" s="104">
        <f>'USD 19-21'!L99*64.8</f>
        <v>751680</v>
      </c>
      <c r="J149" s="93">
        <f t="shared" si="14"/>
        <v>0</v>
      </c>
      <c r="K149" s="93" t="e">
        <f t="shared" si="15"/>
        <v>#REF!</v>
      </c>
      <c r="L149" s="10"/>
      <c r="M149" s="10" t="e">
        <f>'USD 19-21'!#REF!*69.2</f>
        <v>#REF!</v>
      </c>
      <c r="N149" s="10"/>
      <c r="O149" s="10">
        <f>'USD 19-21'!N99*72.4</f>
        <v>171124.64</v>
      </c>
    </row>
    <row r="150" spans="1:15" ht="16.5">
      <c r="A150" s="22">
        <v>3111</v>
      </c>
      <c r="B150" s="40">
        <v>43</v>
      </c>
      <c r="C150" s="40">
        <v>910</v>
      </c>
      <c r="D150" s="40">
        <v>70499</v>
      </c>
      <c r="E150" s="19" t="s">
        <v>126</v>
      </c>
      <c r="F150" s="10">
        <v>9360</v>
      </c>
      <c r="G150" s="10"/>
      <c r="H150" s="104">
        <v>9360</v>
      </c>
      <c r="I150" s="104"/>
      <c r="J150" s="93">
        <f t="shared" si="14"/>
        <v>0</v>
      </c>
      <c r="K150" s="93">
        <f t="shared" si="15"/>
        <v>0</v>
      </c>
      <c r="L150" s="10">
        <v>12920.8</v>
      </c>
      <c r="M150" s="11"/>
      <c r="N150" s="10">
        <v>373718.81</v>
      </c>
      <c r="O150" s="11"/>
    </row>
    <row r="151" spans="1:15" ht="16.5">
      <c r="A151" s="22">
        <v>3111</v>
      </c>
      <c r="B151" s="40">
        <v>43</v>
      </c>
      <c r="C151" s="40">
        <v>930</v>
      </c>
      <c r="D151" s="40">
        <v>70499</v>
      </c>
      <c r="E151" s="112" t="s">
        <v>127</v>
      </c>
      <c r="F151" s="10"/>
      <c r="G151" s="10" t="e">
        <f>'USD 19-21'!#REF!*64.8</f>
        <v>#REF!</v>
      </c>
      <c r="H151" s="104"/>
      <c r="I151" s="104">
        <f>'USD 19-21'!J101*64.8</f>
        <v>201936.24</v>
      </c>
      <c r="J151" s="93">
        <f t="shared" si="14"/>
        <v>0</v>
      </c>
      <c r="K151" s="93" t="e">
        <f t="shared" si="15"/>
        <v>#REF!</v>
      </c>
      <c r="L151" s="10"/>
      <c r="M151" s="10">
        <f>'USD 19-21'!L101*69.2</f>
        <v>1024263.8</v>
      </c>
      <c r="N151" s="10"/>
      <c r="O151" s="10">
        <f>'USD 19-21'!N101*72.4</f>
        <v>1254424.12</v>
      </c>
    </row>
    <row r="152" spans="1:15" ht="18" customHeight="1">
      <c r="A152" s="22">
        <v>3111</v>
      </c>
      <c r="B152" s="40">
        <v>43</v>
      </c>
      <c r="C152" s="40">
        <v>920</v>
      </c>
      <c r="D152" s="40">
        <v>70499</v>
      </c>
      <c r="E152" s="19" t="s">
        <v>98</v>
      </c>
      <c r="F152" s="14"/>
      <c r="G152" s="10" t="e">
        <f>'USD 19-21'!#REF!*64.8</f>
        <v>#REF!</v>
      </c>
      <c r="H152" s="106"/>
      <c r="I152" s="104" t="e">
        <f>'USD 19-21'!#REF!*64.8</f>
        <v>#REF!</v>
      </c>
      <c r="J152" s="93">
        <f t="shared" si="14"/>
        <v>0</v>
      </c>
      <c r="K152" s="93" t="e">
        <f t="shared" si="15"/>
        <v>#REF!</v>
      </c>
      <c r="L152" s="14"/>
      <c r="M152" s="10" t="e">
        <f>'USD 19-21'!#REF!*69.2</f>
        <v>#REF!</v>
      </c>
      <c r="N152" s="11"/>
      <c r="O152" s="11" t="e">
        <f>'USD 19-21'!#REF!*72.4</f>
        <v>#REF!</v>
      </c>
    </row>
    <row r="153" spans="1:15" ht="18" customHeight="1">
      <c r="A153" s="22">
        <v>3214</v>
      </c>
      <c r="B153" s="40">
        <v>43</v>
      </c>
      <c r="C153" s="40">
        <v>930</v>
      </c>
      <c r="D153" s="40">
        <v>70499</v>
      </c>
      <c r="E153" s="112" t="s">
        <v>99</v>
      </c>
      <c r="F153" s="14"/>
      <c r="G153" s="10" t="e">
        <f>'USD 19-21'!#REF!*64.8</f>
        <v>#REF!</v>
      </c>
      <c r="H153" s="106"/>
      <c r="I153" s="104" t="e">
        <f>'USD 19-21'!#REF!*64.8</f>
        <v>#REF!</v>
      </c>
      <c r="J153" s="93">
        <f t="shared" si="14"/>
        <v>0</v>
      </c>
      <c r="K153" s="93" t="e">
        <f t="shared" si="15"/>
        <v>#REF!</v>
      </c>
      <c r="L153" s="14"/>
      <c r="M153" s="10" t="e">
        <f>'USD 19-21'!#REF!*69.2</f>
        <v>#REF!</v>
      </c>
      <c r="N153" s="11"/>
      <c r="O153" s="11" t="e">
        <f>'USD 19-21'!#REF!*72.4</f>
        <v>#REF!</v>
      </c>
    </row>
    <row r="154" spans="2:15" ht="18" customHeight="1">
      <c r="B154" s="36"/>
      <c r="C154" s="36"/>
      <c r="D154" s="36"/>
      <c r="E154" s="20"/>
      <c r="F154" s="10"/>
      <c r="G154" s="10"/>
      <c r="H154" s="104"/>
      <c r="I154" s="104"/>
      <c r="J154" s="93">
        <f aca="true" t="shared" si="17" ref="J154:J214">H154-F154</f>
        <v>0</v>
      </c>
      <c r="K154" s="93">
        <f aca="true" t="shared" si="18" ref="K154:K214">I154-G154</f>
        <v>0</v>
      </c>
      <c r="L154" s="14"/>
      <c r="M154" s="10"/>
      <c r="N154" s="11"/>
      <c r="O154" s="11"/>
    </row>
    <row r="155" spans="2:15" ht="18" customHeight="1">
      <c r="B155" s="36"/>
      <c r="C155" s="36"/>
      <c r="D155" s="36"/>
      <c r="E155" s="78" t="s">
        <v>12</v>
      </c>
      <c r="F155" s="93">
        <f aca="true" t="shared" si="19" ref="F155:O155">F156</f>
        <v>0</v>
      </c>
      <c r="G155" s="93" t="e">
        <f t="shared" si="19"/>
        <v>#REF!</v>
      </c>
      <c r="H155" s="102">
        <f t="shared" si="19"/>
        <v>0</v>
      </c>
      <c r="I155" s="102">
        <f t="shared" si="19"/>
        <v>35147.52</v>
      </c>
      <c r="J155" s="93">
        <f t="shared" si="17"/>
        <v>0</v>
      </c>
      <c r="K155" s="93" t="e">
        <f t="shared" si="18"/>
        <v>#REF!</v>
      </c>
      <c r="L155" s="93">
        <f t="shared" si="19"/>
        <v>0</v>
      </c>
      <c r="M155" s="93">
        <f t="shared" si="19"/>
        <v>0</v>
      </c>
      <c r="N155" s="93">
        <f t="shared" si="19"/>
        <v>0</v>
      </c>
      <c r="O155" s="93">
        <f t="shared" si="19"/>
        <v>0</v>
      </c>
    </row>
    <row r="156" spans="2:15" ht="18" customHeight="1">
      <c r="B156" s="36"/>
      <c r="C156" s="36"/>
      <c r="D156" s="36"/>
      <c r="E156" s="79" t="s">
        <v>3</v>
      </c>
      <c r="F156" s="94">
        <f aca="true" t="shared" si="20" ref="F156:O156">SUM(F157:F158)</f>
        <v>0</v>
      </c>
      <c r="G156" s="94" t="e">
        <f t="shared" si="20"/>
        <v>#REF!</v>
      </c>
      <c r="H156" s="103">
        <f>SUM(H157:H158)</f>
        <v>0</v>
      </c>
      <c r="I156" s="103">
        <f>SUM(I157:I158)</f>
        <v>35147.52</v>
      </c>
      <c r="J156" s="93">
        <f t="shared" si="17"/>
        <v>0</v>
      </c>
      <c r="K156" s="93" t="e">
        <f t="shared" si="18"/>
        <v>#REF!</v>
      </c>
      <c r="L156" s="94">
        <f t="shared" si="20"/>
        <v>0</v>
      </c>
      <c r="M156" s="94">
        <f t="shared" si="20"/>
        <v>0</v>
      </c>
      <c r="N156" s="94">
        <f t="shared" si="20"/>
        <v>0</v>
      </c>
      <c r="O156" s="94">
        <f t="shared" si="20"/>
        <v>0</v>
      </c>
    </row>
    <row r="157" spans="1:15" ht="33">
      <c r="A157" s="22">
        <v>3111</v>
      </c>
      <c r="B157" s="40">
        <v>45</v>
      </c>
      <c r="C157" s="40">
        <v>920</v>
      </c>
      <c r="D157" s="40">
        <v>70259</v>
      </c>
      <c r="E157" s="19" t="s">
        <v>78</v>
      </c>
      <c r="F157" s="10"/>
      <c r="G157" s="10" t="e">
        <f>'USD 19-21'!#REF!*64.8</f>
        <v>#REF!</v>
      </c>
      <c r="H157" s="104"/>
      <c r="I157" s="104">
        <f>'USD 19-21'!J106*64.8</f>
        <v>17573.76</v>
      </c>
      <c r="J157" s="93">
        <f t="shared" si="17"/>
        <v>0</v>
      </c>
      <c r="K157" s="93" t="e">
        <f t="shared" si="18"/>
        <v>#REF!</v>
      </c>
      <c r="L157" s="14"/>
      <c r="M157" s="10"/>
      <c r="N157" s="11"/>
      <c r="O157" s="11"/>
    </row>
    <row r="158" spans="1:15" ht="33">
      <c r="A158" s="22">
        <v>3111</v>
      </c>
      <c r="B158" s="40">
        <v>45</v>
      </c>
      <c r="C158" s="40">
        <v>930</v>
      </c>
      <c r="D158" s="40">
        <v>70259</v>
      </c>
      <c r="E158" s="112" t="s">
        <v>79</v>
      </c>
      <c r="F158" s="10"/>
      <c r="G158" s="10" t="e">
        <f>'USD 19-21'!#REF!*64.8</f>
        <v>#REF!</v>
      </c>
      <c r="H158" s="104"/>
      <c r="I158" s="104">
        <f>'USD 19-21'!J107*64.8</f>
        <v>17573.76</v>
      </c>
      <c r="J158" s="93">
        <f t="shared" si="17"/>
        <v>0</v>
      </c>
      <c r="K158" s="93" t="e">
        <f t="shared" si="18"/>
        <v>#REF!</v>
      </c>
      <c r="L158" s="14"/>
      <c r="M158" s="10"/>
      <c r="N158" s="11"/>
      <c r="O158" s="11"/>
    </row>
    <row r="159" spans="2:15" ht="18" customHeight="1">
      <c r="B159" s="40"/>
      <c r="C159" s="40"/>
      <c r="D159" s="45"/>
      <c r="E159" s="24"/>
      <c r="F159" s="10"/>
      <c r="G159" s="10"/>
      <c r="H159" s="104"/>
      <c r="I159" s="104"/>
      <c r="J159" s="93">
        <f t="shared" si="17"/>
        <v>0</v>
      </c>
      <c r="K159" s="93">
        <f t="shared" si="18"/>
        <v>0</v>
      </c>
      <c r="L159" s="10"/>
      <c r="M159" s="10"/>
      <c r="N159" s="11"/>
      <c r="O159" s="11"/>
    </row>
    <row r="160" spans="2:15" ht="33">
      <c r="B160" s="40"/>
      <c r="C160" s="40"/>
      <c r="D160" s="45"/>
      <c r="E160" s="73" t="s">
        <v>94</v>
      </c>
      <c r="F160" s="93">
        <f aca="true" t="shared" si="21" ref="F160:O160">F161</f>
        <v>62090</v>
      </c>
      <c r="G160" s="93" t="e">
        <f t="shared" si="21"/>
        <v>#REF!</v>
      </c>
      <c r="H160" s="102">
        <f t="shared" si="21"/>
        <v>32604.22</v>
      </c>
      <c r="I160" s="102" t="e">
        <f t="shared" si="21"/>
        <v>#REF!</v>
      </c>
      <c r="J160" s="93">
        <f t="shared" si="17"/>
        <v>-29485.78</v>
      </c>
      <c r="K160" s="93" t="e">
        <f t="shared" si="18"/>
        <v>#REF!</v>
      </c>
      <c r="L160" s="93">
        <f t="shared" si="21"/>
        <v>76165</v>
      </c>
      <c r="M160" s="93">
        <f t="shared" si="21"/>
        <v>686810</v>
      </c>
      <c r="N160" s="93">
        <f t="shared" si="21"/>
        <v>99790</v>
      </c>
      <c r="O160" s="93">
        <f t="shared" si="21"/>
        <v>171588</v>
      </c>
    </row>
    <row r="161" spans="2:15" ht="18" customHeight="1">
      <c r="B161" s="40"/>
      <c r="C161" s="40"/>
      <c r="D161" s="45"/>
      <c r="E161" s="79" t="s">
        <v>3</v>
      </c>
      <c r="F161" s="94">
        <f>SUM(F162:F172)</f>
        <v>62090</v>
      </c>
      <c r="G161" s="94" t="e">
        <f aca="true" t="shared" si="22" ref="G161:O161">SUM(G162:G172)</f>
        <v>#REF!</v>
      </c>
      <c r="H161" s="103">
        <f>SUM(H162:H172)</f>
        <v>32604.22</v>
      </c>
      <c r="I161" s="103" t="e">
        <f>SUM(I162:I172)</f>
        <v>#REF!</v>
      </c>
      <c r="J161" s="93">
        <f>H161-F161</f>
        <v>-29485.78</v>
      </c>
      <c r="K161" s="93" t="e">
        <f t="shared" si="18"/>
        <v>#REF!</v>
      </c>
      <c r="L161" s="94">
        <f t="shared" si="22"/>
        <v>76165</v>
      </c>
      <c r="M161" s="94">
        <f t="shared" si="22"/>
        <v>686810</v>
      </c>
      <c r="N161" s="94">
        <f t="shared" si="22"/>
        <v>99790</v>
      </c>
      <c r="O161" s="94">
        <f t="shared" si="22"/>
        <v>171588</v>
      </c>
    </row>
    <row r="162" spans="1:15" ht="18" customHeight="1">
      <c r="A162" s="63">
        <v>3111</v>
      </c>
      <c r="B162" s="64">
        <v>51</v>
      </c>
      <c r="C162" s="64">
        <v>910</v>
      </c>
      <c r="D162" s="65">
        <v>70499</v>
      </c>
      <c r="E162" s="85" t="s">
        <v>191</v>
      </c>
      <c r="F162" s="10">
        <v>1050</v>
      </c>
      <c r="G162" s="94"/>
      <c r="H162" s="104">
        <v>1604.22</v>
      </c>
      <c r="I162" s="103"/>
      <c r="J162" s="93">
        <f t="shared" si="17"/>
        <v>554.22</v>
      </c>
      <c r="K162" s="93">
        <f t="shared" si="18"/>
        <v>0</v>
      </c>
      <c r="L162" s="94"/>
      <c r="M162" s="94"/>
      <c r="N162" s="94"/>
      <c r="O162" s="94"/>
    </row>
    <row r="163" spans="1:15" ht="18" customHeight="1">
      <c r="A163" s="92">
        <v>3111</v>
      </c>
      <c r="B163" s="64">
        <v>51</v>
      </c>
      <c r="C163" s="64">
        <v>910</v>
      </c>
      <c r="D163" s="65">
        <v>70499</v>
      </c>
      <c r="E163" s="112" t="s">
        <v>222</v>
      </c>
      <c r="F163" s="10"/>
      <c r="G163" s="94"/>
      <c r="H163" s="104"/>
      <c r="I163" s="104" t="e">
        <f>'USD 19-21'!#REF!*64.8</f>
        <v>#REF!</v>
      </c>
      <c r="J163" s="93"/>
      <c r="K163" s="93"/>
      <c r="L163" s="94"/>
      <c r="M163" s="94"/>
      <c r="N163" s="94"/>
      <c r="O163" s="94"/>
    </row>
    <row r="164" spans="1:15" ht="18" customHeight="1">
      <c r="A164" s="22">
        <v>3111</v>
      </c>
      <c r="B164" s="36">
        <v>51</v>
      </c>
      <c r="C164" s="36">
        <v>920</v>
      </c>
      <c r="D164" s="45">
        <v>70499</v>
      </c>
      <c r="E164" s="19" t="s">
        <v>62</v>
      </c>
      <c r="F164" s="10"/>
      <c r="G164" s="10" t="e">
        <f>'USD 19-21'!#REF!*64.8</f>
        <v>#REF!</v>
      </c>
      <c r="H164" s="104"/>
      <c r="I164" s="104">
        <f>'USD 19-21'!J151*64.8</f>
        <v>35400.24</v>
      </c>
      <c r="J164" s="93">
        <f t="shared" si="17"/>
        <v>0</v>
      </c>
      <c r="K164" s="93" t="e">
        <f t="shared" si="18"/>
        <v>#REF!</v>
      </c>
      <c r="L164" s="10"/>
      <c r="M164" s="10">
        <f>'USD 19-21'!L151*69.2</f>
        <v>0</v>
      </c>
      <c r="N164" s="11"/>
      <c r="O164" s="10">
        <f>'USD 19-21'!N151*72.4</f>
        <v>0</v>
      </c>
    </row>
    <row r="165" spans="1:15" ht="18" customHeight="1">
      <c r="A165" s="22">
        <v>3111</v>
      </c>
      <c r="B165" s="36">
        <v>51</v>
      </c>
      <c r="C165" s="36">
        <v>930</v>
      </c>
      <c r="D165" s="45">
        <v>70499</v>
      </c>
      <c r="E165" s="112" t="s">
        <v>63</v>
      </c>
      <c r="F165" s="10"/>
      <c r="G165" s="10" t="e">
        <f>'USD 19-21'!#REF!*64.8</f>
        <v>#REF!</v>
      </c>
      <c r="H165" s="104"/>
      <c r="I165" s="104">
        <f>'USD 19-21'!J152*64.8</f>
        <v>129600</v>
      </c>
      <c r="J165" s="93">
        <f t="shared" si="17"/>
        <v>0</v>
      </c>
      <c r="K165" s="93" t="e">
        <f t="shared" si="18"/>
        <v>#REF!</v>
      </c>
      <c r="L165" s="10"/>
      <c r="M165" s="10">
        <f>'USD 19-21'!L152*69.2</f>
        <v>318320</v>
      </c>
      <c r="N165" s="11"/>
      <c r="O165" s="10">
        <f>'USD 19-21'!N152*72.4</f>
        <v>0</v>
      </c>
    </row>
    <row r="166" spans="1:15" ht="18" customHeight="1">
      <c r="A166" s="22">
        <v>3111</v>
      </c>
      <c r="B166" s="36">
        <v>51</v>
      </c>
      <c r="C166" s="36">
        <v>910</v>
      </c>
      <c r="D166" s="45">
        <v>70499</v>
      </c>
      <c r="E166" s="19" t="s">
        <v>129</v>
      </c>
      <c r="F166" s="10">
        <v>20000</v>
      </c>
      <c r="G166" s="10"/>
      <c r="H166" s="104">
        <v>20000</v>
      </c>
      <c r="I166" s="104"/>
      <c r="J166" s="93">
        <f t="shared" si="17"/>
        <v>0</v>
      </c>
      <c r="K166" s="93">
        <f t="shared" si="18"/>
        <v>0</v>
      </c>
      <c r="L166" s="10">
        <v>7975</v>
      </c>
      <c r="M166" s="11"/>
      <c r="N166" s="11"/>
      <c r="O166" s="11"/>
    </row>
    <row r="167" spans="1:15" ht="18" customHeight="1">
      <c r="A167" s="22">
        <v>3111</v>
      </c>
      <c r="B167" s="36">
        <v>51</v>
      </c>
      <c r="C167" s="36">
        <v>920</v>
      </c>
      <c r="D167" s="45">
        <v>70499</v>
      </c>
      <c r="E167" s="19" t="s">
        <v>128</v>
      </c>
      <c r="F167" s="10"/>
      <c r="G167" s="10" t="e">
        <f>'USD 19-21'!#REF!*64.8</f>
        <v>#REF!</v>
      </c>
      <c r="H167" s="104"/>
      <c r="I167" s="104">
        <f>'USD 19-21'!J153*64.8</f>
        <v>117612</v>
      </c>
      <c r="J167" s="93">
        <f t="shared" si="17"/>
        <v>0</v>
      </c>
      <c r="K167" s="93" t="e">
        <f t="shared" si="18"/>
        <v>#REF!</v>
      </c>
      <c r="L167" s="10"/>
      <c r="M167" s="10">
        <f>'USD 19-21'!L153*69.2</f>
        <v>0</v>
      </c>
      <c r="N167" s="11"/>
      <c r="O167" s="11"/>
    </row>
    <row r="168" spans="1:15" ht="18" customHeight="1">
      <c r="A168" s="22">
        <v>3111</v>
      </c>
      <c r="B168" s="36">
        <v>51</v>
      </c>
      <c r="C168" s="36">
        <v>910</v>
      </c>
      <c r="D168" s="45">
        <v>70499</v>
      </c>
      <c r="E168" s="19" t="s">
        <v>175</v>
      </c>
      <c r="F168" s="10">
        <v>41040</v>
      </c>
      <c r="G168" s="10"/>
      <c r="H168" s="104">
        <v>4000</v>
      </c>
      <c r="I168" s="104"/>
      <c r="J168" s="93">
        <f t="shared" si="17"/>
        <v>-37040</v>
      </c>
      <c r="K168" s="93">
        <f t="shared" si="18"/>
        <v>0</v>
      </c>
      <c r="L168" s="10">
        <v>17440</v>
      </c>
      <c r="M168" s="11"/>
      <c r="N168" s="10">
        <v>46520</v>
      </c>
      <c r="O168" s="11"/>
    </row>
    <row r="169" spans="1:15" ht="18" customHeight="1">
      <c r="A169" s="22">
        <v>3111</v>
      </c>
      <c r="B169" s="36">
        <v>51</v>
      </c>
      <c r="C169" s="36">
        <v>930</v>
      </c>
      <c r="D169" s="45">
        <v>70499</v>
      </c>
      <c r="E169" s="112" t="s">
        <v>176</v>
      </c>
      <c r="F169" s="10"/>
      <c r="G169" s="10" t="e">
        <f>'USD 19-21'!#REF!*64.8</f>
        <v>#REF!</v>
      </c>
      <c r="H169" s="104"/>
      <c r="I169" s="104">
        <f>'USD 19-21'!J155*64.8</f>
        <v>97200</v>
      </c>
      <c r="J169" s="93">
        <f t="shared" si="17"/>
        <v>0</v>
      </c>
      <c r="K169" s="93" t="e">
        <f t="shared" si="18"/>
        <v>#REF!</v>
      </c>
      <c r="L169" s="10"/>
      <c r="M169" s="10">
        <f>'USD 19-21'!L155*69.2</f>
        <v>171616</v>
      </c>
      <c r="N169" s="11"/>
      <c r="O169" s="10">
        <f>'USD 19-21'!N155*72.4</f>
        <v>171588</v>
      </c>
    </row>
    <row r="170" spans="1:15" s="1" customFormat="1" ht="18" customHeight="1">
      <c r="A170" s="22">
        <v>3111</v>
      </c>
      <c r="B170" s="36">
        <v>51</v>
      </c>
      <c r="C170" s="36">
        <v>920</v>
      </c>
      <c r="D170" s="45">
        <v>70499</v>
      </c>
      <c r="E170" s="9" t="s">
        <v>227</v>
      </c>
      <c r="F170" s="10"/>
      <c r="G170" s="10"/>
      <c r="H170" s="104">
        <v>7000</v>
      </c>
      <c r="I170" s="104"/>
      <c r="J170" s="10"/>
      <c r="K170" s="10"/>
      <c r="L170" s="10">
        <v>50750</v>
      </c>
      <c r="M170" s="10"/>
      <c r="N170" s="11">
        <v>53270</v>
      </c>
      <c r="O170" s="11"/>
    </row>
    <row r="171" spans="1:15" ht="18" customHeight="1">
      <c r="A171" s="22">
        <v>3111</v>
      </c>
      <c r="B171" s="36">
        <v>51</v>
      </c>
      <c r="C171" s="36">
        <v>920</v>
      </c>
      <c r="D171" s="45">
        <v>70499</v>
      </c>
      <c r="E171" s="20" t="s">
        <v>225</v>
      </c>
      <c r="F171" s="10"/>
      <c r="G171" s="10"/>
      <c r="H171" s="104"/>
      <c r="I171" s="104">
        <f>'USD 19-21'!J157*64.8</f>
        <v>24753.6</v>
      </c>
      <c r="J171" s="93">
        <f t="shared" si="17"/>
        <v>0</v>
      </c>
      <c r="K171" s="93">
        <f t="shared" si="18"/>
        <v>24753.6</v>
      </c>
      <c r="L171" s="10"/>
      <c r="M171" s="10">
        <f>'USD 19-21'!L157*69.2</f>
        <v>16954</v>
      </c>
      <c r="N171" s="11"/>
      <c r="O171" s="10">
        <f>'USD 19-21'!N157*72.4</f>
        <v>0</v>
      </c>
    </row>
    <row r="172" spans="1:15" ht="18" customHeight="1">
      <c r="A172" s="22">
        <v>3111</v>
      </c>
      <c r="B172" s="36">
        <v>51</v>
      </c>
      <c r="C172" s="36">
        <v>930</v>
      </c>
      <c r="D172" s="45">
        <v>70499</v>
      </c>
      <c r="E172" s="113" t="s">
        <v>228</v>
      </c>
      <c r="F172" s="10"/>
      <c r="G172" s="10"/>
      <c r="H172" s="104"/>
      <c r="I172" s="104">
        <f>'USD 19-21'!J158*64.8</f>
        <v>259200</v>
      </c>
      <c r="J172" s="93">
        <f t="shared" si="17"/>
        <v>0</v>
      </c>
      <c r="K172" s="93">
        <f t="shared" si="18"/>
        <v>259200</v>
      </c>
      <c r="L172" s="10"/>
      <c r="M172" s="10">
        <f>'USD 19-21'!L158*69.2</f>
        <v>179920</v>
      </c>
      <c r="N172" s="11"/>
      <c r="O172" s="10">
        <f>'USD 19-21'!N158*72.4</f>
        <v>0</v>
      </c>
    </row>
    <row r="173" spans="2:15" ht="18" customHeight="1">
      <c r="B173" s="36"/>
      <c r="C173" s="36"/>
      <c r="D173" s="45"/>
      <c r="E173" s="19"/>
      <c r="F173" s="10"/>
      <c r="G173" s="10"/>
      <c r="H173" s="104"/>
      <c r="I173" s="104"/>
      <c r="J173" s="93">
        <f t="shared" si="17"/>
        <v>0</v>
      </c>
      <c r="K173" s="93">
        <f t="shared" si="18"/>
        <v>0</v>
      </c>
      <c r="L173" s="10"/>
      <c r="M173" s="10"/>
      <c r="N173" s="11"/>
      <c r="O173" s="11"/>
    </row>
    <row r="174" spans="2:15" ht="33">
      <c r="B174" s="36"/>
      <c r="C174" s="36"/>
      <c r="D174" s="45"/>
      <c r="E174" s="73" t="s">
        <v>202</v>
      </c>
      <c r="F174" s="93">
        <f aca="true" t="shared" si="23" ref="F174:O174">F175</f>
        <v>0</v>
      </c>
      <c r="G174" s="93" t="e">
        <f t="shared" si="23"/>
        <v>#REF!</v>
      </c>
      <c r="H174" s="102">
        <f t="shared" si="23"/>
        <v>0</v>
      </c>
      <c r="I174" s="102">
        <f t="shared" si="23"/>
        <v>129600</v>
      </c>
      <c r="J174" s="93">
        <f t="shared" si="17"/>
        <v>0</v>
      </c>
      <c r="K174" s="93" t="e">
        <f t="shared" si="18"/>
        <v>#REF!</v>
      </c>
      <c r="L174" s="93">
        <f t="shared" si="23"/>
        <v>0</v>
      </c>
      <c r="M174" s="93">
        <f t="shared" si="23"/>
        <v>242200</v>
      </c>
      <c r="N174" s="93">
        <f t="shared" si="23"/>
        <v>0</v>
      </c>
      <c r="O174" s="93">
        <f t="shared" si="23"/>
        <v>434400.00000000006</v>
      </c>
    </row>
    <row r="175" spans="2:15" ht="18" customHeight="1">
      <c r="B175" s="36"/>
      <c r="C175" s="36"/>
      <c r="D175" s="45"/>
      <c r="E175" s="79" t="s">
        <v>3</v>
      </c>
      <c r="F175" s="94">
        <f aca="true" t="shared" si="24" ref="F175:O175">SUM(F176:F177)</f>
        <v>0</v>
      </c>
      <c r="G175" s="94" t="e">
        <f t="shared" si="24"/>
        <v>#REF!</v>
      </c>
      <c r="H175" s="103">
        <f>SUM(H176:H177)</f>
        <v>0</v>
      </c>
      <c r="I175" s="103">
        <f>SUM(I176:I177)</f>
        <v>129600</v>
      </c>
      <c r="J175" s="93">
        <f t="shared" si="17"/>
        <v>0</v>
      </c>
      <c r="K175" s="93" t="e">
        <f t="shared" si="18"/>
        <v>#REF!</v>
      </c>
      <c r="L175" s="94">
        <f t="shared" si="24"/>
        <v>0</v>
      </c>
      <c r="M175" s="94">
        <f t="shared" si="24"/>
        <v>242200</v>
      </c>
      <c r="N175" s="94">
        <f t="shared" si="24"/>
        <v>0</v>
      </c>
      <c r="O175" s="94">
        <f t="shared" si="24"/>
        <v>434400.00000000006</v>
      </c>
    </row>
    <row r="176" spans="1:15" ht="33">
      <c r="A176" s="1">
        <v>3111</v>
      </c>
      <c r="B176" s="2">
        <v>52</v>
      </c>
      <c r="C176" s="2">
        <v>920</v>
      </c>
      <c r="D176" s="8">
        <v>70499</v>
      </c>
      <c r="E176" s="20" t="s">
        <v>60</v>
      </c>
      <c r="F176" s="10"/>
      <c r="G176" s="10" t="e">
        <f>'USD 19-21'!#REF!*64.8</f>
        <v>#REF!</v>
      </c>
      <c r="H176" s="104"/>
      <c r="I176" s="104">
        <f>'USD 19-21'!J179*64.8</f>
        <v>110160</v>
      </c>
      <c r="J176" s="93">
        <f t="shared" si="17"/>
        <v>0</v>
      </c>
      <c r="K176" s="93" t="e">
        <f t="shared" si="18"/>
        <v>#REF!</v>
      </c>
      <c r="L176" s="10"/>
      <c r="M176" s="10">
        <f>'USD 19-21'!L179*69.2</f>
        <v>138400</v>
      </c>
      <c r="N176" s="11"/>
      <c r="O176" s="10">
        <f>'USD 19-21'!N179*72.4</f>
        <v>217200.00000000003</v>
      </c>
    </row>
    <row r="177" spans="1:15" ht="33">
      <c r="A177" s="1">
        <v>3111</v>
      </c>
      <c r="B177" s="2">
        <v>52</v>
      </c>
      <c r="C177" s="2">
        <v>930</v>
      </c>
      <c r="D177" s="8">
        <v>70499</v>
      </c>
      <c r="E177" s="113" t="s">
        <v>61</v>
      </c>
      <c r="F177" s="10"/>
      <c r="G177" s="10" t="e">
        <f>'USD 19-21'!#REF!*64.8</f>
        <v>#REF!</v>
      </c>
      <c r="H177" s="104"/>
      <c r="I177" s="104">
        <f>'USD 19-21'!J180*64.8</f>
        <v>19440</v>
      </c>
      <c r="J177" s="93">
        <f t="shared" si="17"/>
        <v>0</v>
      </c>
      <c r="K177" s="93" t="e">
        <f t="shared" si="18"/>
        <v>#REF!</v>
      </c>
      <c r="L177" s="10"/>
      <c r="M177" s="10">
        <f>'USD 19-21'!L180*69.2</f>
        <v>103800</v>
      </c>
      <c r="N177" s="11"/>
      <c r="O177" s="10">
        <f>'USD 19-21'!N180*72.4</f>
        <v>217200.00000000003</v>
      </c>
    </row>
    <row r="178" spans="2:15" ht="18" customHeight="1">
      <c r="B178" s="36"/>
      <c r="C178" s="36"/>
      <c r="D178" s="45"/>
      <c r="E178" s="19"/>
      <c r="F178" s="10"/>
      <c r="G178" s="10"/>
      <c r="H178" s="104"/>
      <c r="I178" s="104"/>
      <c r="J178" s="93">
        <f t="shared" si="17"/>
        <v>0</v>
      </c>
      <c r="K178" s="93">
        <f t="shared" si="18"/>
        <v>0</v>
      </c>
      <c r="L178" s="10"/>
      <c r="M178" s="10"/>
      <c r="N178" s="11"/>
      <c r="O178" s="11"/>
    </row>
    <row r="179" spans="2:15" ht="18.75" customHeight="1">
      <c r="B179" s="36"/>
      <c r="C179" s="36"/>
      <c r="D179" s="36"/>
      <c r="E179" s="80" t="s">
        <v>152</v>
      </c>
      <c r="F179" s="93">
        <f aca="true" t="shared" si="25" ref="F179:O179">F180</f>
        <v>3000</v>
      </c>
      <c r="G179" s="93" t="e">
        <f t="shared" si="25"/>
        <v>#REF!</v>
      </c>
      <c r="H179" s="102">
        <f t="shared" si="25"/>
        <v>8000</v>
      </c>
      <c r="I179" s="102" t="e">
        <f t="shared" si="25"/>
        <v>#REF!</v>
      </c>
      <c r="J179" s="93">
        <f t="shared" si="17"/>
        <v>5000</v>
      </c>
      <c r="K179" s="93" t="e">
        <f t="shared" si="18"/>
        <v>#REF!</v>
      </c>
      <c r="L179" s="93">
        <f t="shared" si="25"/>
        <v>0</v>
      </c>
      <c r="M179" s="93" t="e">
        <f t="shared" si="25"/>
        <v>#REF!</v>
      </c>
      <c r="N179" s="93">
        <f t="shared" si="25"/>
        <v>0</v>
      </c>
      <c r="O179" s="93" t="e">
        <f t="shared" si="25"/>
        <v>#REF!</v>
      </c>
    </row>
    <row r="180" spans="2:15" ht="18" customHeight="1">
      <c r="B180" s="36"/>
      <c r="C180" s="36"/>
      <c r="D180" s="36"/>
      <c r="E180" s="79" t="s">
        <v>3</v>
      </c>
      <c r="F180" s="94">
        <f aca="true" t="shared" si="26" ref="F180:O180">SUM(F181:F213)</f>
        <v>3000</v>
      </c>
      <c r="G180" s="94" t="e">
        <f t="shared" si="26"/>
        <v>#REF!</v>
      </c>
      <c r="H180" s="103">
        <f>SUM(H181:H213)</f>
        <v>8000</v>
      </c>
      <c r="I180" s="103" t="e">
        <f>SUM(I181:I213)</f>
        <v>#REF!</v>
      </c>
      <c r="J180" s="93">
        <f t="shared" si="17"/>
        <v>5000</v>
      </c>
      <c r="K180" s="93" t="e">
        <f t="shared" si="18"/>
        <v>#REF!</v>
      </c>
      <c r="L180" s="94">
        <f t="shared" si="26"/>
        <v>0</v>
      </c>
      <c r="M180" s="94" t="e">
        <f t="shared" si="26"/>
        <v>#REF!</v>
      </c>
      <c r="N180" s="94">
        <f t="shared" si="26"/>
        <v>0</v>
      </c>
      <c r="O180" s="94" t="e">
        <f t="shared" si="26"/>
        <v>#REF!</v>
      </c>
    </row>
    <row r="181" spans="1:15" ht="33">
      <c r="A181" s="22">
        <v>3111</v>
      </c>
      <c r="B181" s="36">
        <v>60</v>
      </c>
      <c r="C181" s="36">
        <v>921</v>
      </c>
      <c r="D181" s="45">
        <v>70499</v>
      </c>
      <c r="E181" s="20" t="s">
        <v>143</v>
      </c>
      <c r="F181" s="10"/>
      <c r="G181" s="10" t="e">
        <f>'USD 19-21'!#REF!*64.8</f>
        <v>#REF!</v>
      </c>
      <c r="H181" s="104"/>
      <c r="I181" s="104">
        <f>'USD 19-21'!J184*64.8</f>
        <v>137849.04</v>
      </c>
      <c r="J181" s="93">
        <f t="shared" si="17"/>
        <v>0</v>
      </c>
      <c r="K181" s="93" t="e">
        <f t="shared" si="18"/>
        <v>#REF!</v>
      </c>
      <c r="L181" s="10"/>
      <c r="M181" s="10">
        <f>'USD 19-21'!L184*69.2</f>
        <v>59975.64000000001</v>
      </c>
      <c r="N181" s="11"/>
      <c r="O181" s="10">
        <f>'USD 19-21'!N184*72.4</f>
        <v>0</v>
      </c>
    </row>
    <row r="182" spans="1:15" ht="33">
      <c r="A182" s="22">
        <v>3214</v>
      </c>
      <c r="B182" s="36">
        <v>60</v>
      </c>
      <c r="C182" s="36">
        <v>931</v>
      </c>
      <c r="D182" s="45">
        <v>70499</v>
      </c>
      <c r="E182" s="113" t="s">
        <v>140</v>
      </c>
      <c r="F182" s="10"/>
      <c r="G182" s="10" t="e">
        <f>'USD 19-21'!#REF!*64.8</f>
        <v>#REF!</v>
      </c>
      <c r="H182" s="104"/>
      <c r="I182" s="104">
        <f>'USD 19-21'!J185*64.8</f>
        <v>129295.43999999999</v>
      </c>
      <c r="J182" s="93">
        <f t="shared" si="17"/>
        <v>0</v>
      </c>
      <c r="K182" s="93" t="e">
        <f t="shared" si="18"/>
        <v>#REF!</v>
      </c>
      <c r="L182" s="10"/>
      <c r="M182" s="10">
        <f>'USD 19-21'!L185*69.2</f>
        <v>55484.56</v>
      </c>
      <c r="N182" s="11"/>
      <c r="O182" s="10">
        <f>'USD 19-21'!N185*72.4</f>
        <v>0</v>
      </c>
    </row>
    <row r="183" spans="1:15" ht="18" customHeight="1">
      <c r="A183" s="22">
        <v>3111</v>
      </c>
      <c r="B183" s="36">
        <v>60</v>
      </c>
      <c r="C183" s="36">
        <v>921</v>
      </c>
      <c r="D183" s="45">
        <v>70499</v>
      </c>
      <c r="E183" s="20" t="s">
        <v>69</v>
      </c>
      <c r="F183" s="10"/>
      <c r="G183" s="10" t="e">
        <f>'USD 19-21'!#REF!*64.8</f>
        <v>#REF!</v>
      </c>
      <c r="H183" s="104"/>
      <c r="I183" s="104">
        <f>'USD 19-21'!J186*64.8</f>
        <v>92469.59999999999</v>
      </c>
      <c r="J183" s="93">
        <f t="shared" si="17"/>
        <v>0</v>
      </c>
      <c r="K183" s="93" t="e">
        <f t="shared" si="18"/>
        <v>#REF!</v>
      </c>
      <c r="L183" s="10"/>
      <c r="M183" s="10">
        <f>'USD 19-21'!L186*69.2</f>
        <v>240816</v>
      </c>
      <c r="N183" s="10"/>
      <c r="O183" s="10">
        <f>'USD 19-21'!N186*72.4</f>
        <v>0</v>
      </c>
    </row>
    <row r="184" spans="1:15" ht="18" customHeight="1">
      <c r="A184" s="22">
        <v>3214</v>
      </c>
      <c r="B184" s="36">
        <v>60</v>
      </c>
      <c r="C184" s="36">
        <v>931</v>
      </c>
      <c r="D184" s="45">
        <v>70499</v>
      </c>
      <c r="E184" s="113" t="s">
        <v>18</v>
      </c>
      <c r="F184" s="10"/>
      <c r="G184" s="10" t="e">
        <f>'USD 19-21'!#REF!*64.8</f>
        <v>#REF!</v>
      </c>
      <c r="H184" s="104"/>
      <c r="I184" s="104">
        <f>'USD 19-21'!J187*64.8</f>
        <v>101736</v>
      </c>
      <c r="J184" s="93">
        <f t="shared" si="17"/>
        <v>0</v>
      </c>
      <c r="K184" s="93" t="e">
        <f t="shared" si="18"/>
        <v>#REF!</v>
      </c>
      <c r="L184" s="10"/>
      <c r="M184" s="10">
        <f>'USD 19-21'!L187*69.2</f>
        <v>240816</v>
      </c>
      <c r="N184" s="10"/>
      <c r="O184" s="10">
        <f>'USD 19-21'!N187*72.4</f>
        <v>0</v>
      </c>
    </row>
    <row r="185" spans="1:15" ht="18" customHeight="1">
      <c r="A185" s="22">
        <v>3111</v>
      </c>
      <c r="B185" s="36">
        <v>60</v>
      </c>
      <c r="C185" s="36">
        <v>921</v>
      </c>
      <c r="D185" s="45">
        <v>70499</v>
      </c>
      <c r="E185" s="20" t="s">
        <v>70</v>
      </c>
      <c r="F185" s="10"/>
      <c r="G185" s="10" t="e">
        <f>'USD 19-21'!#REF!*64.8</f>
        <v>#REF!</v>
      </c>
      <c r="H185" s="104"/>
      <c r="I185" s="104" t="e">
        <f>'USD 19-21'!#REF!*64.8</f>
        <v>#REF!</v>
      </c>
      <c r="J185" s="93">
        <f t="shared" si="17"/>
        <v>0</v>
      </c>
      <c r="K185" s="93" t="e">
        <f t="shared" si="18"/>
        <v>#REF!</v>
      </c>
      <c r="L185" s="10"/>
      <c r="M185" s="10" t="e">
        <f>'USD 19-21'!#REF!*69.2</f>
        <v>#REF!</v>
      </c>
      <c r="N185" s="10"/>
      <c r="O185" s="10" t="e">
        <f>'USD 19-21'!#REF!*72.4</f>
        <v>#REF!</v>
      </c>
    </row>
    <row r="186" spans="1:15" ht="18" customHeight="1">
      <c r="A186" s="22">
        <v>3214</v>
      </c>
      <c r="B186" s="36">
        <v>60</v>
      </c>
      <c r="C186" s="36">
        <v>931</v>
      </c>
      <c r="D186" s="45">
        <v>70499</v>
      </c>
      <c r="E186" s="113" t="s">
        <v>19</v>
      </c>
      <c r="F186" s="10"/>
      <c r="G186" s="10" t="e">
        <f>'USD 19-21'!#REF!*64.8</f>
        <v>#REF!</v>
      </c>
      <c r="H186" s="104"/>
      <c r="I186" s="104" t="e">
        <f>'USD 19-21'!#REF!*64.8</f>
        <v>#REF!</v>
      </c>
      <c r="J186" s="93">
        <f t="shared" si="17"/>
        <v>0</v>
      </c>
      <c r="K186" s="93" t="e">
        <f t="shared" si="18"/>
        <v>#REF!</v>
      </c>
      <c r="L186" s="10"/>
      <c r="M186" s="10" t="e">
        <f>'USD 19-21'!#REF!*69.2</f>
        <v>#REF!</v>
      </c>
      <c r="N186" s="10"/>
      <c r="O186" s="10" t="e">
        <f>'USD 19-21'!#REF!*72.4</f>
        <v>#REF!</v>
      </c>
    </row>
    <row r="187" spans="1:15" ht="33">
      <c r="A187" s="22">
        <v>3214</v>
      </c>
      <c r="B187" s="36">
        <v>60</v>
      </c>
      <c r="C187" s="36">
        <v>921</v>
      </c>
      <c r="D187" s="45">
        <v>70499</v>
      </c>
      <c r="E187" s="20" t="s">
        <v>31</v>
      </c>
      <c r="F187" s="10"/>
      <c r="G187" s="10" t="e">
        <f>'USD 19-21'!#REF!*64.8</f>
        <v>#REF!</v>
      </c>
      <c r="H187" s="104"/>
      <c r="I187" s="104" t="e">
        <f>'USD 19-21'!#REF!*64.8</f>
        <v>#REF!</v>
      </c>
      <c r="J187" s="93">
        <f t="shared" si="17"/>
        <v>0</v>
      </c>
      <c r="K187" s="93" t="e">
        <f t="shared" si="18"/>
        <v>#REF!</v>
      </c>
      <c r="L187" s="10"/>
      <c r="M187" s="10" t="e">
        <f>'USD 19-21'!#REF!*69.2</f>
        <v>#REF!</v>
      </c>
      <c r="N187" s="10"/>
      <c r="O187" s="10" t="e">
        <f>'USD 19-21'!#REF!*72.4</f>
        <v>#REF!</v>
      </c>
    </row>
    <row r="188" spans="1:15" ht="33">
      <c r="A188" s="22">
        <v>3214</v>
      </c>
      <c r="B188" s="36">
        <v>60</v>
      </c>
      <c r="C188" s="36">
        <v>931</v>
      </c>
      <c r="D188" s="45">
        <v>70499</v>
      </c>
      <c r="E188" s="113" t="s">
        <v>25</v>
      </c>
      <c r="F188" s="10"/>
      <c r="G188" s="10" t="e">
        <f>'USD 19-21'!#REF!*64.8</f>
        <v>#REF!</v>
      </c>
      <c r="H188" s="104"/>
      <c r="I188" s="104" t="e">
        <f>'USD 19-21'!#REF!*64.8</f>
        <v>#REF!</v>
      </c>
      <c r="J188" s="93">
        <f t="shared" si="17"/>
        <v>0</v>
      </c>
      <c r="K188" s="93" t="e">
        <f t="shared" si="18"/>
        <v>#REF!</v>
      </c>
      <c r="L188" s="10"/>
      <c r="M188" s="10" t="e">
        <f>'USD 19-21'!#REF!*69.2</f>
        <v>#REF!</v>
      </c>
      <c r="N188" s="10"/>
      <c r="O188" s="10" t="e">
        <f>'USD 19-21'!#REF!*72.4</f>
        <v>#REF!</v>
      </c>
    </row>
    <row r="189" spans="1:15" ht="18" customHeight="1">
      <c r="A189" s="22">
        <v>3214</v>
      </c>
      <c r="B189" s="36">
        <v>60</v>
      </c>
      <c r="C189" s="36">
        <v>921</v>
      </c>
      <c r="D189" s="45">
        <v>70499</v>
      </c>
      <c r="E189" s="20" t="s">
        <v>32</v>
      </c>
      <c r="F189" s="10"/>
      <c r="G189" s="10" t="e">
        <f>'USD 19-21'!#REF!*64.8</f>
        <v>#REF!</v>
      </c>
      <c r="H189" s="104"/>
      <c r="I189" s="104" t="e">
        <f>'USD 19-21'!#REF!*64.8</f>
        <v>#REF!</v>
      </c>
      <c r="J189" s="93">
        <f t="shared" si="17"/>
        <v>0</v>
      </c>
      <c r="K189" s="93" t="e">
        <f t="shared" si="18"/>
        <v>#REF!</v>
      </c>
      <c r="L189" s="10"/>
      <c r="M189" s="10" t="e">
        <f>'USD 19-21'!#REF!*69.2</f>
        <v>#REF!</v>
      </c>
      <c r="N189" s="11"/>
      <c r="O189" s="10" t="e">
        <f>'USD 19-21'!#REF!*72.4</f>
        <v>#REF!</v>
      </c>
    </row>
    <row r="190" spans="1:15" ht="18" customHeight="1">
      <c r="A190" s="22">
        <v>3214</v>
      </c>
      <c r="B190" s="36">
        <v>60</v>
      </c>
      <c r="C190" s="36">
        <v>931</v>
      </c>
      <c r="D190" s="45">
        <v>70499</v>
      </c>
      <c r="E190" s="113" t="s">
        <v>24</v>
      </c>
      <c r="F190" s="10"/>
      <c r="G190" s="10" t="e">
        <f>'USD 19-21'!#REF!*64.8</f>
        <v>#REF!</v>
      </c>
      <c r="H190" s="104"/>
      <c r="I190" s="104" t="e">
        <f>'USD 19-21'!#REF!*64.8</f>
        <v>#REF!</v>
      </c>
      <c r="J190" s="93">
        <f t="shared" si="17"/>
        <v>0</v>
      </c>
      <c r="K190" s="93" t="e">
        <f t="shared" si="18"/>
        <v>#REF!</v>
      </c>
      <c r="L190" s="10"/>
      <c r="M190" s="10" t="e">
        <f>'USD 19-21'!#REF!*69.2</f>
        <v>#REF!</v>
      </c>
      <c r="N190" s="11"/>
      <c r="O190" s="10" t="e">
        <f>'USD 19-21'!#REF!*72.4</f>
        <v>#REF!</v>
      </c>
    </row>
    <row r="191" spans="1:15" ht="18" customHeight="1">
      <c r="A191" s="63">
        <v>3111</v>
      </c>
      <c r="B191" s="64">
        <v>60</v>
      </c>
      <c r="C191" s="64">
        <v>921</v>
      </c>
      <c r="D191" s="65">
        <v>70499</v>
      </c>
      <c r="E191" s="62" t="s">
        <v>233</v>
      </c>
      <c r="F191" s="10"/>
      <c r="G191" s="10" t="e">
        <f>'USD 19-21'!#REF!*64.8</f>
        <v>#REF!</v>
      </c>
      <c r="H191" s="104"/>
      <c r="I191" s="104" t="e">
        <f>'USD 19-21'!#REF!*64.8</f>
        <v>#REF!</v>
      </c>
      <c r="J191" s="93">
        <f t="shared" si="17"/>
        <v>0</v>
      </c>
      <c r="K191" s="93" t="e">
        <f t="shared" si="18"/>
        <v>#REF!</v>
      </c>
      <c r="L191" s="10"/>
      <c r="M191" s="10"/>
      <c r="N191" s="11"/>
      <c r="O191" s="10"/>
    </row>
    <row r="192" spans="1:15" ht="18" customHeight="1">
      <c r="A192" s="63">
        <v>3111</v>
      </c>
      <c r="B192" s="64">
        <v>60</v>
      </c>
      <c r="C192" s="64">
        <v>921</v>
      </c>
      <c r="D192" s="65">
        <v>70499</v>
      </c>
      <c r="E192" s="113" t="s">
        <v>234</v>
      </c>
      <c r="F192" s="10"/>
      <c r="G192" s="10"/>
      <c r="H192" s="104"/>
      <c r="I192" s="104" t="e">
        <f>'USD 19-21'!#REF!*64.8</f>
        <v>#REF!</v>
      </c>
      <c r="J192" s="93"/>
      <c r="K192" s="93"/>
      <c r="L192" s="10"/>
      <c r="M192" s="10"/>
      <c r="N192" s="11"/>
      <c r="O192" s="10"/>
    </row>
    <row r="193" spans="1:15" ht="33">
      <c r="A193" s="22">
        <v>3111</v>
      </c>
      <c r="B193" s="36">
        <v>60</v>
      </c>
      <c r="C193" s="36">
        <v>921</v>
      </c>
      <c r="D193" s="45">
        <v>70499</v>
      </c>
      <c r="E193" s="20" t="s">
        <v>142</v>
      </c>
      <c r="F193" s="10"/>
      <c r="G193" s="10" t="e">
        <f>'USD 19-21'!#REF!*64.8</f>
        <v>#REF!</v>
      </c>
      <c r="H193" s="104"/>
      <c r="I193" s="60">
        <f>'USD 19-21'!J190*64.8</f>
        <v>152150.4</v>
      </c>
      <c r="J193" s="93">
        <f t="shared" si="17"/>
        <v>0</v>
      </c>
      <c r="K193" s="93" t="e">
        <f t="shared" si="18"/>
        <v>#REF!</v>
      </c>
      <c r="L193" s="10"/>
      <c r="M193" s="10">
        <f>'USD 19-21'!L190*69.2</f>
        <v>239985.6</v>
      </c>
      <c r="N193" s="11"/>
      <c r="O193" s="10">
        <f>'USD 19-21'!N190*72.4</f>
        <v>202321.80000000002</v>
      </c>
    </row>
    <row r="194" spans="1:15" ht="33">
      <c r="A194" s="22">
        <v>3214</v>
      </c>
      <c r="B194" s="36">
        <v>60</v>
      </c>
      <c r="C194" s="36">
        <v>931</v>
      </c>
      <c r="D194" s="45">
        <v>70499</v>
      </c>
      <c r="E194" s="113" t="s">
        <v>139</v>
      </c>
      <c r="F194" s="10"/>
      <c r="G194" s="10" t="e">
        <f>'USD 19-21'!#REF!*64.8</f>
        <v>#REF!</v>
      </c>
      <c r="H194" s="104"/>
      <c r="I194" s="104">
        <f>'USD 19-21'!J191*64.8</f>
        <v>339552</v>
      </c>
      <c r="J194" s="93">
        <f t="shared" si="17"/>
        <v>0</v>
      </c>
      <c r="K194" s="93" t="e">
        <f t="shared" si="18"/>
        <v>#REF!</v>
      </c>
      <c r="L194" s="10"/>
      <c r="M194" s="10">
        <f>'USD 19-21'!L191*69.2</f>
        <v>85808</v>
      </c>
      <c r="N194" s="11"/>
      <c r="O194" s="10">
        <f>'USD 19-21'!N191*72.4</f>
        <v>0</v>
      </c>
    </row>
    <row r="195" spans="1:15" ht="16.5">
      <c r="A195" s="63">
        <v>3111</v>
      </c>
      <c r="B195" s="64">
        <v>60</v>
      </c>
      <c r="C195" s="64">
        <v>921</v>
      </c>
      <c r="D195" s="65">
        <v>70499</v>
      </c>
      <c r="E195" s="62" t="s">
        <v>204</v>
      </c>
      <c r="F195" s="10"/>
      <c r="G195" s="10" t="e">
        <f>'USD 19-21'!#REF!*64.8</f>
        <v>#REF!</v>
      </c>
      <c r="H195" s="104"/>
      <c r="I195" s="104" t="e">
        <f>'USD 19-21'!#REF!*64.8</f>
        <v>#REF!</v>
      </c>
      <c r="J195" s="93">
        <f t="shared" si="17"/>
        <v>0</v>
      </c>
      <c r="K195" s="93" t="e">
        <f t="shared" si="18"/>
        <v>#REF!</v>
      </c>
      <c r="L195" s="10"/>
      <c r="M195" s="10"/>
      <c r="N195" s="11"/>
      <c r="O195" s="10"/>
    </row>
    <row r="196" spans="1:15" ht="18" customHeight="1">
      <c r="A196" s="22">
        <v>3214</v>
      </c>
      <c r="B196" s="36">
        <v>60</v>
      </c>
      <c r="C196" s="36">
        <v>931</v>
      </c>
      <c r="D196" s="45">
        <v>70499</v>
      </c>
      <c r="E196" s="113" t="s">
        <v>177</v>
      </c>
      <c r="F196" s="10"/>
      <c r="G196" s="10" t="e">
        <f>'USD 19-21'!#REF!*64.8</f>
        <v>#REF!</v>
      </c>
      <c r="H196" s="104"/>
      <c r="I196" s="104" t="e">
        <f>'USD 19-21'!#REF!*64.8</f>
        <v>#REF!</v>
      </c>
      <c r="J196" s="93">
        <f t="shared" si="17"/>
        <v>0</v>
      </c>
      <c r="K196" s="93" t="e">
        <f t="shared" si="18"/>
        <v>#REF!</v>
      </c>
      <c r="L196" s="10"/>
      <c r="M196" s="10"/>
      <c r="N196" s="11"/>
      <c r="O196" s="11"/>
    </row>
    <row r="197" spans="1:15" ht="33">
      <c r="A197" s="22">
        <v>3111</v>
      </c>
      <c r="B197" s="36">
        <v>60</v>
      </c>
      <c r="C197" s="36">
        <v>921</v>
      </c>
      <c r="D197" s="45">
        <v>70499</v>
      </c>
      <c r="E197" s="20" t="s">
        <v>80</v>
      </c>
      <c r="F197" s="10"/>
      <c r="G197" s="10" t="e">
        <f>'USD 19-21'!#REF!*64.8</f>
        <v>#REF!</v>
      </c>
      <c r="H197" s="104"/>
      <c r="I197" s="104" t="e">
        <f>'USD 19-21'!#REF!*64.8</f>
        <v>#REF!</v>
      </c>
      <c r="J197" s="93">
        <f t="shared" si="17"/>
        <v>0</v>
      </c>
      <c r="K197" s="93" t="e">
        <f t="shared" si="18"/>
        <v>#REF!</v>
      </c>
      <c r="L197" s="10"/>
      <c r="M197" s="10"/>
      <c r="N197" s="11"/>
      <c r="O197" s="11"/>
    </row>
    <row r="198" spans="1:15" ht="33">
      <c r="A198" s="22">
        <v>3214</v>
      </c>
      <c r="B198" s="36">
        <v>60</v>
      </c>
      <c r="C198" s="36">
        <v>931</v>
      </c>
      <c r="D198" s="45">
        <v>70499</v>
      </c>
      <c r="E198" s="113" t="s">
        <v>81</v>
      </c>
      <c r="F198" s="10"/>
      <c r="G198" s="10" t="e">
        <f>'USD 19-21'!#REF!*64.8</f>
        <v>#REF!</v>
      </c>
      <c r="H198" s="104"/>
      <c r="I198" s="104" t="e">
        <f>'USD 19-21'!#REF!*64.8</f>
        <v>#REF!</v>
      </c>
      <c r="J198" s="93">
        <f t="shared" si="17"/>
        <v>0</v>
      </c>
      <c r="K198" s="93" t="e">
        <f t="shared" si="18"/>
        <v>#REF!</v>
      </c>
      <c r="L198" s="10"/>
      <c r="M198" s="10" t="e">
        <f>'USD 19-21'!#REF!*69.2</f>
        <v>#REF!</v>
      </c>
      <c r="N198" s="11"/>
      <c r="O198" s="11"/>
    </row>
    <row r="199" spans="1:15" ht="33">
      <c r="A199" s="22">
        <v>3111</v>
      </c>
      <c r="B199" s="36">
        <v>60</v>
      </c>
      <c r="C199" s="36">
        <v>921</v>
      </c>
      <c r="D199" s="45">
        <v>70499</v>
      </c>
      <c r="E199" s="20" t="s">
        <v>144</v>
      </c>
      <c r="F199" s="10"/>
      <c r="G199" s="10" t="e">
        <f>'USD 19-21'!#REF!*64.8</f>
        <v>#REF!</v>
      </c>
      <c r="H199" s="104"/>
      <c r="I199" s="104">
        <f>'USD 19-21'!J193*64.8</f>
        <v>145476</v>
      </c>
      <c r="J199" s="93">
        <f t="shared" si="17"/>
        <v>0</v>
      </c>
      <c r="K199" s="93" t="e">
        <f t="shared" si="18"/>
        <v>#REF!</v>
      </c>
      <c r="L199" s="10"/>
      <c r="M199" s="10">
        <f>'USD 19-21'!L193*69.2</f>
        <v>45326</v>
      </c>
      <c r="N199" s="11"/>
      <c r="O199" s="10">
        <f>'USD 19-21'!N193*72.4</f>
        <v>0</v>
      </c>
    </row>
    <row r="200" spans="1:15" ht="33">
      <c r="A200" s="22">
        <v>3214</v>
      </c>
      <c r="B200" s="36">
        <v>60</v>
      </c>
      <c r="C200" s="36">
        <v>931</v>
      </c>
      <c r="D200" s="45">
        <v>70499</v>
      </c>
      <c r="E200" s="113" t="s">
        <v>141</v>
      </c>
      <c r="F200" s="10"/>
      <c r="G200" s="10" t="e">
        <f>'USD 19-21'!#REF!*64.8</f>
        <v>#REF!</v>
      </c>
      <c r="H200" s="104"/>
      <c r="I200" s="104">
        <f>'USD 19-21'!J194*64.8</f>
        <v>94348.8</v>
      </c>
      <c r="J200" s="93">
        <f t="shared" si="17"/>
        <v>0</v>
      </c>
      <c r="K200" s="93" t="e">
        <f t="shared" si="18"/>
        <v>#REF!</v>
      </c>
      <c r="L200" s="10"/>
      <c r="M200" s="10">
        <f>'USD 19-21'!L194*69.2</f>
        <v>59788.8</v>
      </c>
      <c r="N200" s="11"/>
      <c r="O200" s="10">
        <f>'USD 19-21'!N194*72.4</f>
        <v>0</v>
      </c>
    </row>
    <row r="201" spans="1:15" ht="50.25">
      <c r="A201" s="22">
        <v>3111</v>
      </c>
      <c r="B201" s="36">
        <v>60</v>
      </c>
      <c r="C201" s="36">
        <v>921</v>
      </c>
      <c r="D201" s="45">
        <v>70499</v>
      </c>
      <c r="E201" s="20" t="s">
        <v>145</v>
      </c>
      <c r="F201" s="10"/>
      <c r="G201" s="10" t="e">
        <f>'USD 19-21'!#REF!*64.8</f>
        <v>#REF!</v>
      </c>
      <c r="H201" s="104"/>
      <c r="I201" s="104">
        <f>'USD 19-21'!J195*64.8</f>
        <v>10238.4</v>
      </c>
      <c r="J201" s="93">
        <f t="shared" si="17"/>
        <v>0</v>
      </c>
      <c r="K201" s="93" t="e">
        <f t="shared" si="18"/>
        <v>#REF!</v>
      </c>
      <c r="L201" s="10"/>
      <c r="M201" s="10">
        <f>'USD 19-21'!L195*69.2</f>
        <v>0</v>
      </c>
      <c r="N201" s="11"/>
      <c r="O201" s="11"/>
    </row>
    <row r="202" spans="1:15" ht="33">
      <c r="A202" s="22">
        <v>3111</v>
      </c>
      <c r="B202" s="36">
        <v>60</v>
      </c>
      <c r="C202" s="36">
        <v>931</v>
      </c>
      <c r="D202" s="45">
        <v>70499</v>
      </c>
      <c r="E202" s="113" t="s">
        <v>146</v>
      </c>
      <c r="F202" s="10"/>
      <c r="G202" s="10" t="e">
        <f>'USD 19-21'!#REF!*64.8</f>
        <v>#REF!</v>
      </c>
      <c r="H202" s="104"/>
      <c r="I202" s="104">
        <f>'USD 19-21'!J196*64.8</f>
        <v>0</v>
      </c>
      <c r="J202" s="93">
        <f t="shared" si="17"/>
        <v>0</v>
      </c>
      <c r="K202" s="93" t="e">
        <f t="shared" si="18"/>
        <v>#REF!</v>
      </c>
      <c r="L202" s="10"/>
      <c r="M202" s="10">
        <f>'USD 19-21'!L196*69.2</f>
        <v>0</v>
      </c>
      <c r="N202" s="11"/>
      <c r="O202" s="11"/>
    </row>
    <row r="203" spans="1:15" ht="33">
      <c r="A203" s="22">
        <v>3111</v>
      </c>
      <c r="B203" s="36">
        <v>60</v>
      </c>
      <c r="C203" s="36">
        <v>921</v>
      </c>
      <c r="D203" s="45">
        <v>70499</v>
      </c>
      <c r="E203" s="20" t="s">
        <v>147</v>
      </c>
      <c r="F203" s="10"/>
      <c r="G203" s="10" t="e">
        <f>'USD 19-21'!#REF!*64.8</f>
        <v>#REF!</v>
      </c>
      <c r="H203" s="104"/>
      <c r="I203" s="104">
        <f>'USD 19-21'!J197*64.8</f>
        <v>92664</v>
      </c>
      <c r="J203" s="93">
        <f t="shared" si="17"/>
        <v>0</v>
      </c>
      <c r="K203" s="93" t="e">
        <f t="shared" si="18"/>
        <v>#REF!</v>
      </c>
      <c r="L203" s="10"/>
      <c r="M203" s="10">
        <f>'USD 19-21'!L197*69.2</f>
        <v>53145.600000000006</v>
      </c>
      <c r="N203" s="11"/>
      <c r="O203" s="11"/>
    </row>
    <row r="204" spans="1:15" ht="18" customHeight="1">
      <c r="A204" s="22">
        <v>3214</v>
      </c>
      <c r="B204" s="36">
        <v>60</v>
      </c>
      <c r="C204" s="36">
        <v>931</v>
      </c>
      <c r="D204" s="45">
        <v>70499</v>
      </c>
      <c r="E204" s="113" t="s">
        <v>148</v>
      </c>
      <c r="F204" s="10"/>
      <c r="G204" s="10" t="e">
        <f>'USD 19-21'!#REF!*64.8</f>
        <v>#REF!</v>
      </c>
      <c r="H204" s="104"/>
      <c r="I204" s="104">
        <f>'USD 19-21'!J198*64.8</f>
        <v>0</v>
      </c>
      <c r="J204" s="93">
        <f t="shared" si="17"/>
        <v>0</v>
      </c>
      <c r="K204" s="93" t="e">
        <f t="shared" si="18"/>
        <v>#REF!</v>
      </c>
      <c r="L204" s="10"/>
      <c r="M204" s="10">
        <f>'USD 19-21'!L198*69.2</f>
        <v>11210.4</v>
      </c>
      <c r="N204" s="11"/>
      <c r="O204" s="11"/>
    </row>
    <row r="205" spans="1:15" ht="18" customHeight="1">
      <c r="A205" s="22">
        <v>3111</v>
      </c>
      <c r="B205" s="36">
        <v>60</v>
      </c>
      <c r="C205" s="36">
        <v>921</v>
      </c>
      <c r="D205" s="45">
        <v>70499</v>
      </c>
      <c r="E205" s="20" t="s">
        <v>20</v>
      </c>
      <c r="F205" s="10"/>
      <c r="G205" s="10" t="e">
        <f>'USD 19-21'!#REF!*64.8</f>
        <v>#REF!</v>
      </c>
      <c r="H205" s="104"/>
      <c r="I205" s="104">
        <f>'USD 19-21'!J199*64.8</f>
        <v>33696</v>
      </c>
      <c r="J205" s="93">
        <f t="shared" si="17"/>
        <v>0</v>
      </c>
      <c r="K205" s="93" t="e">
        <f t="shared" si="18"/>
        <v>#REF!</v>
      </c>
      <c r="L205" s="10"/>
      <c r="M205" s="10">
        <f>'USD 19-21'!L199*69.2</f>
        <v>156530.4</v>
      </c>
      <c r="N205" s="10"/>
      <c r="O205" s="10">
        <f>'USD 19-21'!N199*72.4</f>
        <v>100780.8</v>
      </c>
    </row>
    <row r="206" spans="1:15" ht="18" customHeight="1">
      <c r="A206" s="22">
        <v>3214</v>
      </c>
      <c r="B206" s="36">
        <v>60</v>
      </c>
      <c r="C206" s="36">
        <v>931</v>
      </c>
      <c r="D206" s="45">
        <v>70499</v>
      </c>
      <c r="E206" s="113" t="s">
        <v>21</v>
      </c>
      <c r="F206" s="10"/>
      <c r="G206" s="10" t="e">
        <f>'USD 19-21'!#REF!*64.8</f>
        <v>#REF!</v>
      </c>
      <c r="H206" s="104"/>
      <c r="I206" s="104">
        <f>'USD 19-21'!J200*64.8</f>
        <v>17107.2</v>
      </c>
      <c r="J206" s="93">
        <f t="shared" si="17"/>
        <v>0</v>
      </c>
      <c r="K206" s="93" t="e">
        <f t="shared" si="18"/>
        <v>#REF!</v>
      </c>
      <c r="L206" s="10"/>
      <c r="M206" s="10">
        <f>'USD 19-21'!L200*69.2</f>
        <v>68231.2</v>
      </c>
      <c r="N206" s="10"/>
      <c r="O206" s="10">
        <f>'USD 19-21'!N200*72.4</f>
        <v>54589.600000000006</v>
      </c>
    </row>
    <row r="207" spans="1:15" ht="18" customHeight="1">
      <c r="A207" s="22">
        <v>3111</v>
      </c>
      <c r="B207" s="36">
        <v>60</v>
      </c>
      <c r="C207" s="36">
        <v>921</v>
      </c>
      <c r="D207" s="45">
        <v>70499</v>
      </c>
      <c r="E207" s="20" t="s">
        <v>29</v>
      </c>
      <c r="F207" s="10"/>
      <c r="G207" s="10" t="e">
        <f>'USD 19-21'!#REF!*64.8</f>
        <v>#REF!</v>
      </c>
      <c r="H207" s="104"/>
      <c r="I207" s="104">
        <f>'USD 19-21'!J201*64.8</f>
        <v>127785.59999999999</v>
      </c>
      <c r="J207" s="93">
        <f t="shared" si="17"/>
        <v>0</v>
      </c>
      <c r="K207" s="93" t="e">
        <f t="shared" si="18"/>
        <v>#REF!</v>
      </c>
      <c r="L207" s="10"/>
      <c r="M207" s="10">
        <f>'USD 19-21'!L201*69.2</f>
        <v>40136</v>
      </c>
      <c r="N207" s="10"/>
      <c r="O207" s="10">
        <f>'USD 19-21'!N201*72.4</f>
        <v>0</v>
      </c>
    </row>
    <row r="208" spans="1:15" ht="18" customHeight="1">
      <c r="A208" s="22">
        <v>3214</v>
      </c>
      <c r="B208" s="36">
        <v>60</v>
      </c>
      <c r="C208" s="36">
        <v>931</v>
      </c>
      <c r="D208" s="45">
        <v>70499</v>
      </c>
      <c r="E208" s="113" t="s">
        <v>22</v>
      </c>
      <c r="F208" s="10"/>
      <c r="G208" s="10" t="e">
        <f>'USD 19-21'!#REF!*64.8</f>
        <v>#REF!</v>
      </c>
      <c r="H208" s="104"/>
      <c r="I208" s="104">
        <f>'USD 19-21'!J202*64.8</f>
        <v>63892.799999999996</v>
      </c>
      <c r="J208" s="93">
        <f t="shared" si="17"/>
        <v>0</v>
      </c>
      <c r="K208" s="93" t="e">
        <f t="shared" si="18"/>
        <v>#REF!</v>
      </c>
      <c r="L208" s="10"/>
      <c r="M208" s="10">
        <f>'USD 19-21'!L202*69.2</f>
        <v>12040.800000000001</v>
      </c>
      <c r="N208" s="10"/>
      <c r="O208" s="10">
        <f>'USD 19-21'!N202*72.4</f>
        <v>0</v>
      </c>
    </row>
    <row r="209" spans="1:15" ht="18" customHeight="1">
      <c r="A209" s="22">
        <v>3111</v>
      </c>
      <c r="B209" s="36">
        <v>60</v>
      </c>
      <c r="C209" s="36">
        <v>921</v>
      </c>
      <c r="D209" s="45">
        <v>70499</v>
      </c>
      <c r="E209" s="20" t="s">
        <v>30</v>
      </c>
      <c r="F209" s="10"/>
      <c r="G209" s="10" t="e">
        <f>'USD 19-21'!#REF!*64.8</f>
        <v>#REF!</v>
      </c>
      <c r="H209" s="104"/>
      <c r="I209" s="104">
        <f>'USD 19-21'!J203*64.8</f>
        <v>112751.99999999999</v>
      </c>
      <c r="J209" s="93">
        <f t="shared" si="17"/>
        <v>0</v>
      </c>
      <c r="K209" s="93" t="e">
        <f t="shared" si="18"/>
        <v>#REF!</v>
      </c>
      <c r="L209" s="10"/>
      <c r="M209" s="10">
        <f>'USD 19-21'!L203*69.2</f>
        <v>51069.6</v>
      </c>
      <c r="N209" s="10"/>
      <c r="O209" s="10">
        <f>'USD 19-21'!N203*72.4</f>
        <v>0</v>
      </c>
    </row>
    <row r="210" spans="1:15" ht="18" customHeight="1">
      <c r="A210" s="22">
        <v>3214</v>
      </c>
      <c r="B210" s="36">
        <v>60</v>
      </c>
      <c r="C210" s="36">
        <v>931</v>
      </c>
      <c r="D210" s="45">
        <v>70499</v>
      </c>
      <c r="E210" s="113" t="s">
        <v>23</v>
      </c>
      <c r="F210" s="10"/>
      <c r="G210" s="10" t="e">
        <f>'USD 19-21'!#REF!*64.8</f>
        <v>#REF!</v>
      </c>
      <c r="H210" s="104"/>
      <c r="I210" s="104">
        <f>'USD 19-21'!J204*64.8</f>
        <v>67651.2</v>
      </c>
      <c r="J210" s="93">
        <f t="shared" si="17"/>
        <v>0</v>
      </c>
      <c r="K210" s="93" t="e">
        <f t="shared" si="18"/>
        <v>#REF!</v>
      </c>
      <c r="L210" s="10"/>
      <c r="M210" s="10">
        <f>'USD 19-21'!L204*69.2</f>
        <v>30655.600000000002</v>
      </c>
      <c r="N210" s="10"/>
      <c r="O210" s="10">
        <f>'USD 19-21'!N204*72.4</f>
        <v>0</v>
      </c>
    </row>
    <row r="211" spans="1:15" ht="18" customHeight="1">
      <c r="A211" s="88">
        <v>3111</v>
      </c>
      <c r="B211" s="89">
        <v>60</v>
      </c>
      <c r="C211" s="89">
        <v>911</v>
      </c>
      <c r="D211" s="90">
        <v>70499</v>
      </c>
      <c r="E211" s="84" t="s">
        <v>43</v>
      </c>
      <c r="F211" s="10">
        <v>3000</v>
      </c>
      <c r="G211" s="10"/>
      <c r="H211" s="104">
        <v>8000</v>
      </c>
      <c r="I211" s="104"/>
      <c r="J211" s="93">
        <f t="shared" si="17"/>
        <v>5000</v>
      </c>
      <c r="K211" s="93">
        <f t="shared" si="18"/>
        <v>0</v>
      </c>
      <c r="L211" s="10"/>
      <c r="M211" s="10"/>
      <c r="N211" s="11"/>
      <c r="O211" s="11"/>
    </row>
    <row r="212" spans="1:15" ht="18" customHeight="1">
      <c r="A212" s="1">
        <v>3111</v>
      </c>
      <c r="B212" s="2">
        <v>60</v>
      </c>
      <c r="C212" s="2">
        <v>921</v>
      </c>
      <c r="D212" s="8">
        <v>70499</v>
      </c>
      <c r="E212" s="9" t="s">
        <v>181</v>
      </c>
      <c r="F212" s="10"/>
      <c r="G212" s="10" t="e">
        <f>'USD 19-21'!#REF!*64.8</f>
        <v>#REF!</v>
      </c>
      <c r="H212" s="104"/>
      <c r="I212" s="104" t="e">
        <f>'USD 19-21'!#REF!*64.8</f>
        <v>#REF!</v>
      </c>
      <c r="J212" s="93">
        <f t="shared" si="17"/>
        <v>0</v>
      </c>
      <c r="K212" s="93" t="e">
        <f t="shared" si="18"/>
        <v>#REF!</v>
      </c>
      <c r="L212" s="10"/>
      <c r="M212" s="10"/>
      <c r="N212" s="11"/>
      <c r="O212" s="11"/>
    </row>
    <row r="213" spans="1:15" ht="18" customHeight="1">
      <c r="A213" s="22">
        <v>3111</v>
      </c>
      <c r="B213" s="36">
        <v>60</v>
      </c>
      <c r="C213" s="36">
        <v>931</v>
      </c>
      <c r="D213" s="45">
        <v>70499</v>
      </c>
      <c r="E213" s="113" t="s">
        <v>40</v>
      </c>
      <c r="F213" s="10"/>
      <c r="G213" s="10" t="e">
        <f>'USD 19-21'!#REF!*64.8</f>
        <v>#REF!</v>
      </c>
      <c r="H213" s="104"/>
      <c r="I213" s="104" t="e">
        <f>'USD 19-21'!#REF!*64.8</f>
        <v>#REF!</v>
      </c>
      <c r="J213" s="93">
        <f t="shared" si="17"/>
        <v>0</v>
      </c>
      <c r="K213" s="93" t="e">
        <f t="shared" si="18"/>
        <v>#REF!</v>
      </c>
      <c r="L213" s="10"/>
      <c r="M213" s="10"/>
      <c r="N213" s="11"/>
      <c r="O213" s="11"/>
    </row>
    <row r="214" spans="2:15" ht="18" customHeight="1">
      <c r="B214" s="36"/>
      <c r="C214" s="36"/>
      <c r="D214" s="40"/>
      <c r="E214" s="20"/>
      <c r="F214" s="10"/>
      <c r="G214" s="10"/>
      <c r="H214" s="104"/>
      <c r="I214" s="104"/>
      <c r="J214" s="93">
        <f t="shared" si="17"/>
        <v>0</v>
      </c>
      <c r="K214" s="93">
        <f t="shared" si="18"/>
        <v>0</v>
      </c>
      <c r="L214" s="14"/>
      <c r="M214" s="10"/>
      <c r="N214" s="11"/>
      <c r="O214" s="11"/>
    </row>
    <row r="215" spans="2:15" ht="23.25" customHeight="1" hidden="1">
      <c r="B215" s="36"/>
      <c r="C215" s="36"/>
      <c r="D215" s="40"/>
      <c r="E215" s="78"/>
      <c r="F215" s="74"/>
      <c r="G215" s="74"/>
      <c r="H215" s="102"/>
      <c r="I215" s="102"/>
      <c r="J215" s="74"/>
      <c r="K215" s="74"/>
      <c r="L215" s="74"/>
      <c r="M215" s="74"/>
      <c r="N215" s="74"/>
      <c r="O215" s="74"/>
    </row>
    <row r="216" spans="2:15" ht="18" customHeight="1" hidden="1">
      <c r="B216" s="36"/>
      <c r="C216" s="36"/>
      <c r="D216" s="40"/>
      <c r="E216" s="79"/>
      <c r="F216" s="69"/>
      <c r="G216" s="69"/>
      <c r="H216" s="103"/>
      <c r="I216" s="103"/>
      <c r="J216" s="74"/>
      <c r="K216" s="74"/>
      <c r="L216" s="69"/>
      <c r="M216" s="69"/>
      <c r="N216" s="69"/>
      <c r="O216" s="69"/>
    </row>
    <row r="217" spans="2:15" ht="16.5" hidden="1">
      <c r="B217" s="36"/>
      <c r="C217" s="36"/>
      <c r="D217" s="45"/>
      <c r="E217" s="20"/>
      <c r="F217" s="60"/>
      <c r="G217" s="17"/>
      <c r="H217" s="104"/>
      <c r="I217" s="104"/>
      <c r="J217" s="74"/>
      <c r="K217" s="74"/>
      <c r="L217" s="60"/>
      <c r="M217" s="21"/>
      <c r="N217" s="60"/>
      <c r="O217" s="21"/>
    </row>
    <row r="218" spans="2:15" ht="16.5" hidden="1">
      <c r="B218" s="36"/>
      <c r="C218" s="36"/>
      <c r="D218" s="45"/>
      <c r="E218" s="20"/>
      <c r="F218" s="17"/>
      <c r="G218" s="60"/>
      <c r="H218" s="104"/>
      <c r="I218" s="104"/>
      <c r="J218" s="74"/>
      <c r="K218" s="74"/>
      <c r="L218" s="17"/>
      <c r="M218" s="60"/>
      <c r="N218" s="21"/>
      <c r="O218" s="61"/>
    </row>
    <row r="219" spans="2:15" ht="16.5" hidden="1">
      <c r="B219" s="36"/>
      <c r="C219" s="36"/>
      <c r="D219" s="45"/>
      <c r="E219" s="20"/>
      <c r="F219" s="17"/>
      <c r="G219" s="60"/>
      <c r="H219" s="104"/>
      <c r="I219" s="104"/>
      <c r="J219" s="74"/>
      <c r="K219" s="74"/>
      <c r="L219" s="17"/>
      <c r="M219" s="60"/>
      <c r="N219" s="21"/>
      <c r="O219" s="61"/>
    </row>
    <row r="220" spans="2:15" ht="16.5" hidden="1">
      <c r="B220" s="36"/>
      <c r="C220" s="36"/>
      <c r="D220" s="45"/>
      <c r="E220" s="20"/>
      <c r="F220" s="17"/>
      <c r="G220" s="17"/>
      <c r="H220" s="104"/>
      <c r="I220" s="104"/>
      <c r="J220" s="74"/>
      <c r="K220" s="74"/>
      <c r="L220" s="17"/>
      <c r="M220" s="21"/>
      <c r="N220" s="17"/>
      <c r="O220" s="21"/>
    </row>
    <row r="221" spans="2:15" ht="16.5" hidden="1">
      <c r="B221" s="36"/>
      <c r="C221" s="36"/>
      <c r="D221" s="45"/>
      <c r="E221" s="20"/>
      <c r="F221" s="17"/>
      <c r="G221" s="17"/>
      <c r="H221" s="104"/>
      <c r="I221" s="104"/>
      <c r="J221" s="74"/>
      <c r="K221" s="74"/>
      <c r="L221" s="17"/>
      <c r="M221" s="17"/>
      <c r="N221" s="21"/>
      <c r="O221" s="17"/>
    </row>
    <row r="222" spans="2:15" ht="16.5" hidden="1">
      <c r="B222" s="36"/>
      <c r="C222" s="36"/>
      <c r="D222" s="45"/>
      <c r="E222" s="20"/>
      <c r="F222" s="17"/>
      <c r="G222" s="17"/>
      <c r="H222" s="104"/>
      <c r="I222" s="104"/>
      <c r="J222" s="74"/>
      <c r="K222" s="74"/>
      <c r="L222" s="17"/>
      <c r="M222" s="17"/>
      <c r="N222" s="21"/>
      <c r="O222" s="17"/>
    </row>
    <row r="223" spans="2:15" ht="18" customHeight="1">
      <c r="B223" s="36"/>
      <c r="C223" s="36"/>
      <c r="D223" s="40"/>
      <c r="E223" s="20"/>
      <c r="F223" s="17"/>
      <c r="G223" s="17"/>
      <c r="H223" s="104"/>
      <c r="I223" s="104"/>
      <c r="J223" s="74">
        <f aca="true" t="shared" si="27" ref="J223:J234">H223-F223</f>
        <v>0</v>
      </c>
      <c r="K223" s="74">
        <f aca="true" t="shared" si="28" ref="K223:K234">I223-G223</f>
        <v>0</v>
      </c>
      <c r="L223" s="18"/>
      <c r="M223" s="17"/>
      <c r="N223" s="21"/>
      <c r="O223" s="21"/>
    </row>
    <row r="224" spans="2:15" ht="18" customHeight="1">
      <c r="B224" s="72"/>
      <c r="C224" s="72"/>
      <c r="D224" s="72"/>
      <c r="E224" s="73" t="s">
        <v>13</v>
      </c>
      <c r="F224" s="74">
        <f>F15+F21+F31+F61+F75+F89+F112+F115+F155+F215+F179+F160</f>
        <v>1421597.7000000002</v>
      </c>
      <c r="G224" s="74" t="e">
        <f>G15+G21+G31+G61+G75+G89+G112+G115+G155+G215+G179+G160+G174</f>
        <v>#REF!</v>
      </c>
      <c r="H224" s="102">
        <f>H15+H21+H31+H61+H75+H89+H112+H115+H155+H215+H179+H160</f>
        <v>1051597.74</v>
      </c>
      <c r="I224" s="102" t="e">
        <f>I15+I21+I31+I61+I75+I89+I112+I115+I155+I215+I179+I160+I174</f>
        <v>#REF!</v>
      </c>
      <c r="J224" s="74">
        <f t="shared" si="27"/>
        <v>-369999.9600000002</v>
      </c>
      <c r="K224" s="74" t="e">
        <f t="shared" si="28"/>
        <v>#REF!</v>
      </c>
      <c r="L224" s="74">
        <f>L15+L21+L31+L61+L75+L89+L112+L115+L155+L215+L179+L160</f>
        <v>1222402.05</v>
      </c>
      <c r="M224" s="74" t="e">
        <f>M15+M21+M31+M61+M75+M89+M112+M115+M155+M215+M179+M160+M174</f>
        <v>#REF!</v>
      </c>
      <c r="N224" s="74">
        <f>N15+N21+N31+N61+N75+N89+N112+N115+N155+N215+N179+N160</f>
        <v>1476456.72</v>
      </c>
      <c r="O224" s="74" t="e">
        <f>O15+O21+O31+O61+O75+O89+O112+O115+O155+O215+O179+O160+O174</f>
        <v>#REF!</v>
      </c>
    </row>
    <row r="225" spans="2:15" ht="18" customHeight="1">
      <c r="B225" s="46"/>
      <c r="C225" s="46"/>
      <c r="D225" s="46"/>
      <c r="E225" s="25"/>
      <c r="F225" s="75"/>
      <c r="G225" s="75"/>
      <c r="H225" s="107"/>
      <c r="I225" s="107"/>
      <c r="J225" s="74">
        <f t="shared" si="27"/>
        <v>0</v>
      </c>
      <c r="K225" s="74">
        <f t="shared" si="28"/>
        <v>0</v>
      </c>
      <c r="L225" s="75"/>
      <c r="M225" s="75"/>
      <c r="N225" s="75"/>
      <c r="O225" s="75"/>
    </row>
    <row r="226" spans="2:15" ht="18" customHeight="1">
      <c r="B226" s="46"/>
      <c r="C226" s="46"/>
      <c r="D226" s="46"/>
      <c r="E226" s="26" t="s">
        <v>14</v>
      </c>
      <c r="F226" s="76"/>
      <c r="G226" s="76" t="e">
        <f>G19+G35+G64+G93+G98+G105+G108+G39+G41+G42+G43+G48+G50+G51+G54+G57+G118+G119+G121+G126+G127+G128+G129+G130+G153+G158+G219+G213+G194+G196+G198+G200+G202+G204+G206+G208+G210+G58+G44+G172+G97+G182+G184+G186+G188+G190+G165+G110+G59+G60+G26+G29+G109+G135+G136+G139+G141+G144+G145+G146+G149+G151+G169+G103+G177+G55+G222+G123+G124+G132+G70+G73</f>
        <v>#REF!</v>
      </c>
      <c r="H226" s="108"/>
      <c r="I226" s="108" t="e">
        <f>I19+I35+I64+I93+I98+I105+I108+I39+I41+I42+I43+I48+I50+I51+I54+I57+I118+I119+I121+I126+I127+I128+I129+I130+I153+I158+I219+I213+I194+I196+I198+I200+I202+I204+I206+I208+I210+I58+I44+I172+I97+I182+I184+I186+I188+I190+I165+I110+I59+I60+I26+I29+I109+I135+I136+I139+I141+I144+I145+I146+I149+I151+I169+I103+I177+I55+I222+I123+I124+I132+I70+I73</f>
        <v>#REF!</v>
      </c>
      <c r="J226" s="74">
        <f t="shared" si="27"/>
        <v>0</v>
      </c>
      <c r="K226" s="74" t="e">
        <f t="shared" si="28"/>
        <v>#REF!</v>
      </c>
      <c r="L226" s="76"/>
      <c r="M226" s="76" t="e">
        <f>M19+M35+M64+M93+M98+M105+M108+M39+M41+M42+M43+M48+M50+M51+M54+M57+M118+M119+M121+M126+M127+M128+M129+M130+M153+M158+M219+M213+M194+M196+M198+M200+M202+M204+M206+M208+M210+M58+M44+M172+M97+M182+M184+M186+M188+M190+M165+M110+M59+M60+M26+M29+M109+M135+M136+M139+M141+M144+M145+M146+M149+M151+M169+M103+M177+M55+M222+M123+M124+M132+M70+M73</f>
        <v>#REF!</v>
      </c>
      <c r="N226" s="76"/>
      <c r="O226" s="76" t="e">
        <f>O19+O35+O64+O93+O98+O105+O108+O39+O41+O42+O43+O48+O50+O51+O54+O57+O118+O119+O121+O126+O127+O128+O129+O130+O153+O158+O219+O213+O194+O196+O198+O200+O202+O204+O206+O208+O210+O58+O44+O172+O97+O182+O184+O186+O188+O190+O165+O110+O59+O60+O26+O29+O109+O135+O136+O139+O141+O144+O145+O146+O149+O151+O169+O103+O177+O55+O222+O123+O124+O132</f>
        <v>#REF!</v>
      </c>
    </row>
    <row r="227" spans="2:15" ht="18" customHeight="1">
      <c r="B227" s="46"/>
      <c r="C227" s="46"/>
      <c r="D227" s="46"/>
      <c r="E227" s="26" t="s">
        <v>15</v>
      </c>
      <c r="F227" s="76"/>
      <c r="G227" s="76" t="e">
        <f>G18+G23+G34+G37+G63+G66+G67+G78+G79+G84+G85+G86+G87+G92+G99+G100+G104+G107+G38+G47+G52+G53+G56+G157+G218+G193+G197+G199+G201+G203+G205+G207+G209+G40+G152+G171+G95+G81+G181+G183+G185+G187+G189+G164+G25+G28+G101+G46+G49+G138+G143+G148+G167+G221+G102+G176+G191+G212+G134+G106+G195+G69+G72+G77+G82+G83</f>
        <v>#REF!</v>
      </c>
      <c r="H227" s="108"/>
      <c r="I227" s="108" t="e">
        <f>I18+I23+I34+I37+I63+I66+I67+I78+I79+I84+I85+I86+I87+I92+I99+I100+I104+I107+I38+I47+I52+I53+I56+I157+I218+I193+I197+I199+I201+I203+I205+I207+I209+I40+I152+I171+I95+I81+I181+I183+I185+I187+I189+I164+I25+I28+I101+I46+I49+I138+I143+I148+I167+I221+I102+I176+I191+I212+I134+I106+I195+I69+I72+I77+I82+I83</f>
        <v>#REF!</v>
      </c>
      <c r="J227" s="74">
        <f t="shared" si="27"/>
        <v>0</v>
      </c>
      <c r="K227" s="74" t="e">
        <f t="shared" si="28"/>
        <v>#REF!</v>
      </c>
      <c r="L227" s="76"/>
      <c r="M227" s="76" t="e">
        <f>M18+M23+M34+M37+M63+M66+M67+M78+M79+M84+M85+M86+M87+M92+M99+M100+M104+M107+M38+M47+M52+M53+M56+M157+M218+M193+M197+M199+M201+M203+M205+M207+M209+M40+M152+M171+M95+M81+M181+M183+M185+M187+M189+M164+M25+M28+M101+M46+M49+M138+M143+M148+M167+M221+M102+M176+M191+M212+M134+M106+M195+M69+M72+M77+M82+M83</f>
        <v>#REF!</v>
      </c>
      <c r="N227" s="76"/>
      <c r="O227" s="76" t="e">
        <f>O18+O23+O34+O37+O63+O66+O67+O78+O79+O84+O85+O86+O87+O92+O99+O100+O104+O107+O38+O47+O52+O53+O56+O157+O218+O193+O197+O199+O201+O203+O205+O207+O209+O40+O152+O171+O95+O81+O181+O183+O185+O187+O189+O164+O25+O28+O101+O46+O49+O138+O143+O148+O167+O221+O102+O176+O191+O212+O134+O106+O195+O69+O72+O77+O82+O83</f>
        <v>#REF!</v>
      </c>
    </row>
    <row r="228" spans="2:15" ht="18" customHeight="1">
      <c r="B228" s="46"/>
      <c r="C228" s="46"/>
      <c r="D228" s="46"/>
      <c r="E228" s="27"/>
      <c r="F228" s="27"/>
      <c r="G228" s="27"/>
      <c r="H228" s="109"/>
      <c r="I228" s="109"/>
      <c r="J228" s="74">
        <f t="shared" si="27"/>
        <v>0</v>
      </c>
      <c r="K228" s="74">
        <f t="shared" si="28"/>
        <v>0</v>
      </c>
      <c r="L228" s="27"/>
      <c r="M228" s="27"/>
      <c r="N228" s="27"/>
      <c r="O228" s="27"/>
    </row>
    <row r="229" spans="1:15" ht="18" customHeight="1">
      <c r="A229" s="270">
        <v>3214</v>
      </c>
      <c r="B229" s="271"/>
      <c r="C229" s="271"/>
      <c r="D229" s="272"/>
      <c r="E229" s="26" t="s">
        <v>82</v>
      </c>
      <c r="F229" s="77"/>
      <c r="G229" s="76" t="e">
        <f>G39+G41+G42+G43+G44+G48+G50+G51+G54+G57+G58+G153+G194+G196+G198+G200+G204+G206+G208+G210+G182+G184+G186+G188+G190+G110+G59+G60+G55</f>
        <v>#REF!</v>
      </c>
      <c r="H229" s="110"/>
      <c r="I229" s="108" t="e">
        <f>I39+I41+I42+I43+I44+I48+I50+I51+I54+I57+I58+I153+I194+I196+I198+I200+I204+I206+I208+I210+I182+I184+I186+I188+I190+I110+I59+I60+I55</f>
        <v>#REF!</v>
      </c>
      <c r="J229" s="74">
        <f t="shared" si="27"/>
        <v>0</v>
      </c>
      <c r="K229" s="74" t="e">
        <f t="shared" si="28"/>
        <v>#REF!</v>
      </c>
      <c r="L229" s="77"/>
      <c r="M229" s="76" t="e">
        <f>M39+M41+M42+M43+M44+M48+M50+M51+M54+M57+M58+M153+M194+M196+M198+M200+M204+M206+M208+M210+M182+M184+M186+M188+M190+M110+M59+M60+M55</f>
        <v>#REF!</v>
      </c>
      <c r="N229" s="77"/>
      <c r="O229" s="76" t="e">
        <f>O39+O41+O42+O43+O44+O48+O50+O51+O54+O57+O58+O153+O194+O196+O198+O200+O204+O206+O208+O210+O182+O184+O186+O188+O190+O110+O59+O60+O55</f>
        <v>#REF!</v>
      </c>
    </row>
    <row r="230" spans="1:15" ht="18" customHeight="1">
      <c r="A230" s="273"/>
      <c r="B230" s="274"/>
      <c r="C230" s="274"/>
      <c r="D230" s="275"/>
      <c r="E230" s="26" t="s">
        <v>83</v>
      </c>
      <c r="F230" s="77"/>
      <c r="G230" s="76" t="e">
        <f>G38+G40+G47+G53+G56+G187+G189+G49</f>
        <v>#REF!</v>
      </c>
      <c r="H230" s="110"/>
      <c r="I230" s="108" t="e">
        <f>I38+I40+I47+I53+I56+I187+I189+I49</f>
        <v>#REF!</v>
      </c>
      <c r="J230" s="74">
        <f t="shared" si="27"/>
        <v>0</v>
      </c>
      <c r="K230" s="74" t="e">
        <f t="shared" si="28"/>
        <v>#REF!</v>
      </c>
      <c r="L230" s="77"/>
      <c r="M230" s="76" t="e">
        <f>M38+M40+M47+M53+M56+M187+M189+M49</f>
        <v>#REF!</v>
      </c>
      <c r="N230" s="77"/>
      <c r="O230" s="76" t="e">
        <f>O38+O40+O47+O53+O56+O187+O189+O49</f>
        <v>#REF!</v>
      </c>
    </row>
    <row r="231" spans="1:15" ht="18" customHeight="1">
      <c r="A231" s="276"/>
      <c r="B231" s="277"/>
      <c r="C231" s="277"/>
      <c r="D231" s="278"/>
      <c r="E231" s="26" t="s">
        <v>84</v>
      </c>
      <c r="F231" s="77"/>
      <c r="G231" s="74" t="e">
        <f>G229+G230</f>
        <v>#REF!</v>
      </c>
      <c r="H231" s="110"/>
      <c r="I231" s="102" t="e">
        <f>I229+I230</f>
        <v>#REF!</v>
      </c>
      <c r="J231" s="74">
        <f t="shared" si="27"/>
        <v>0</v>
      </c>
      <c r="K231" s="74" t="e">
        <f t="shared" si="28"/>
        <v>#REF!</v>
      </c>
      <c r="L231" s="77"/>
      <c r="M231" s="74" t="e">
        <f>M229+M230</f>
        <v>#REF!</v>
      </c>
      <c r="N231" s="77"/>
      <c r="O231" s="74" t="e">
        <f>O229+O230</f>
        <v>#REF!</v>
      </c>
    </row>
    <row r="232" spans="1:15" ht="18" customHeight="1">
      <c r="A232" s="270">
        <v>3111</v>
      </c>
      <c r="B232" s="271"/>
      <c r="C232" s="271"/>
      <c r="D232" s="272"/>
      <c r="E232" s="26" t="s">
        <v>85</v>
      </c>
      <c r="F232" s="74"/>
      <c r="G232" s="76" t="e">
        <f>G19+G35+G64+G93+G98+G105+G108+G118+G119+G121+G126+G127+G128+G129+G130+G158+G219+G202+G213+G172+G97+G165+G26+G29+G109+G135+G136+G139+G141+G144+G146+G149+G151+G169+G145+G103+G177+G222+G123+G124+G132+G73</f>
        <v>#REF!</v>
      </c>
      <c r="H232" s="102"/>
      <c r="I232" s="108" t="e">
        <f>I19+I35+I64+I93+I98+I105+I108+I118+I119+I121+I126+I127+I128+I129+I130+I158+I219+I202+I213+I172+I97+I165+I26+I29+I109+I135+I136+I139+I141+I144+I146+I149+I151+I169+I145+I103+I177+I222+I123+I124+I132+I73</f>
        <v>#REF!</v>
      </c>
      <c r="J232" s="74">
        <f t="shared" si="27"/>
        <v>0</v>
      </c>
      <c r="K232" s="74" t="e">
        <f t="shared" si="28"/>
        <v>#REF!</v>
      </c>
      <c r="L232" s="74"/>
      <c r="M232" s="76" t="e">
        <f>M19+M35+M64+M93+M98+M105+M108+M118+M119+M121+M126+M127+M128+M129+M130+M158+M219+M202+M213+M172+M97+M165+M26+M29+M109+M135+M136+M139+M141+M144+M146+M149+M151+M169+M145+M103+M177+M222+M123+M124+M132+M73</f>
        <v>#REF!</v>
      </c>
      <c r="N232" s="74"/>
      <c r="O232" s="76" t="e">
        <f>O19+O35+O64+O93+O98+O105+O108+O118+O119+O121+O126+O127+O128+O129+O130+O158+O219+O202+O213+O172+O97+O165+O26+O29+O109+O135+O136+O139+O141+O144+O146+O149+O151+O169+O145+O103+O177+O222+O123+O124+O132+O73</f>
        <v>#REF!</v>
      </c>
    </row>
    <row r="233" spans="1:15" ht="18" customHeight="1">
      <c r="A233" s="273"/>
      <c r="B233" s="274"/>
      <c r="C233" s="274"/>
      <c r="D233" s="275"/>
      <c r="E233" s="28" t="s">
        <v>86</v>
      </c>
      <c r="F233" s="74"/>
      <c r="G233" s="76" t="e">
        <f>G18+G23+G34+G37+G63+G66+G67+G78+G79+G84+G85+G86+G87+G92+G99+G100+G104+G107+G52+G152+G157+G218+G193+G197+G199+G201+G203+G205+G207+G209+G171+G95+G81+G164+G185+G183+G181+G25+G28+G101+G46+G138+G143+G148+G167+G221+G102+G176+G191+G212+G134+G106+G195+G82+G83+G77+G69+G72</f>
        <v>#REF!</v>
      </c>
      <c r="H233" s="102"/>
      <c r="I233" s="108" t="e">
        <f>I18+I23+I34+I37+I63+I66+I67+I78+I79+I84+I85+I86+I87+I92+I99+I100+I104+I107+I52+I152+I157+I218+I193+I197+I199+I201+I203+I205+I207+I209+I171+I95+I81+I164+I185+I183+I181+I25+I28+I101+I46+I138+I143+I148+I167+I221+I102+I176+I191+I212+I134+I106+I195+I82+I83+I77+I69+I72</f>
        <v>#REF!</v>
      </c>
      <c r="J233" s="74">
        <f t="shared" si="27"/>
        <v>0</v>
      </c>
      <c r="K233" s="74" t="e">
        <f t="shared" si="28"/>
        <v>#REF!</v>
      </c>
      <c r="L233" s="74"/>
      <c r="M233" s="76" t="e">
        <f>M18+M23+M34+M37+M63+M66+M67+M78+M79+M84+M85+M86+M87+M92+M99+M100+M104+M107+M52+M152+M157+M218+M193+M197+M199+M201+M203+M205+M207+M209+M171+M95+M81+M164+M185+M183+M181+M25+M28+M101+M46+M138+M143+M148+M167+M221+M102+M176+M191+M212+M134+M106+M195+M82+M83+M77+M69+M72</f>
        <v>#REF!</v>
      </c>
      <c r="N233" s="74"/>
      <c r="O233" s="76" t="e">
        <f>O18+O23+O34+O37+O63+O66+O67+O78+O79+O84+O85+O86+O87+O92+O99+O100+O104+O107+O52+O152+O157+O218+O193+O197+O199+O201+O203+O205+O207+O209+O171+O95+O81+O164+O185+O183+O181+O25+O28+O101+O46+O138+O143+O148+O167+O221+O102+O176+O191+O212+O134+O106+O195+O82+O83+O77+O69+O72</f>
        <v>#REF!</v>
      </c>
    </row>
    <row r="234" spans="1:15" ht="18" customHeight="1">
      <c r="A234" s="276"/>
      <c r="B234" s="277"/>
      <c r="C234" s="277"/>
      <c r="D234" s="278"/>
      <c r="E234" s="28" t="s">
        <v>87</v>
      </c>
      <c r="F234" s="74">
        <f>F15+F21+F31+F61+F75+F89+F112+F115+F155+F215+F179+F161</f>
        <v>1421597.7000000002</v>
      </c>
      <c r="G234" s="74" t="e">
        <f>G232+G233</f>
        <v>#REF!</v>
      </c>
      <c r="H234" s="102">
        <f>H15+H21+H31+H61+H75+H89+H112+H115+H155+H215+H179+H161</f>
        <v>1051597.74</v>
      </c>
      <c r="I234" s="102" t="e">
        <f>I232+I233</f>
        <v>#REF!</v>
      </c>
      <c r="J234" s="74">
        <f t="shared" si="27"/>
        <v>-369999.9600000002</v>
      </c>
      <c r="K234" s="74" t="e">
        <f t="shared" si="28"/>
        <v>#REF!</v>
      </c>
      <c r="L234" s="74">
        <f>L15+L21+L31+L61+L75+L89+L112+L115+L155+L215+L179+L161</f>
        <v>1222402.05</v>
      </c>
      <c r="M234" s="74" t="e">
        <f>M232+M233</f>
        <v>#REF!</v>
      </c>
      <c r="N234" s="74">
        <f>N15+N21+N31+N61+N75+N89+N112+N115+N155+N215+N179+N161</f>
        <v>1476456.72</v>
      </c>
      <c r="O234" s="74" t="e">
        <f>O232+O233</f>
        <v>#REF!</v>
      </c>
    </row>
    <row r="235" ht="15.75" customHeight="1"/>
  </sheetData>
  <sheetProtection/>
  <mergeCells count="18">
    <mergeCell ref="B11:O11"/>
    <mergeCell ref="N13:O13"/>
    <mergeCell ref="F2:O2"/>
    <mergeCell ref="F3:O3"/>
    <mergeCell ref="F4:O4"/>
    <mergeCell ref="F5:O5"/>
    <mergeCell ref="F6:O6"/>
    <mergeCell ref="A8:O8"/>
    <mergeCell ref="F12:M12"/>
    <mergeCell ref="A13:D13"/>
    <mergeCell ref="E13:E14"/>
    <mergeCell ref="L13:M13"/>
    <mergeCell ref="A229:D231"/>
    <mergeCell ref="A232:D234"/>
    <mergeCell ref="B14:C14"/>
    <mergeCell ref="F13:G13"/>
    <mergeCell ref="H13:I13"/>
    <mergeCell ref="J13:K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9"/>
  <sheetViews>
    <sheetView zoomScale="85" zoomScaleNormal="85" zoomScalePageLayoutView="0" workbookViewId="0" topLeftCell="A1">
      <selection activeCell="E25" sqref="E25"/>
    </sheetView>
  </sheetViews>
  <sheetFormatPr defaultColWidth="9.140625" defaultRowHeight="12.75"/>
  <cols>
    <col min="1" max="1" width="9.140625" style="132" customWidth="1"/>
    <col min="2" max="2" width="3.7109375" style="170" customWidth="1"/>
    <col min="3" max="3" width="4.28125" style="170" customWidth="1"/>
    <col min="4" max="4" width="7.00390625" style="170" customWidth="1"/>
    <col min="5" max="5" width="70.28125" style="132" customWidth="1"/>
    <col min="6" max="7" width="16.7109375" style="132" customWidth="1"/>
    <col min="8" max="8" width="14.28125" style="132" customWidth="1"/>
    <col min="9" max="9" width="18.421875" style="132" customWidth="1"/>
    <col min="10" max="10" width="14.28125" style="132" customWidth="1"/>
    <col min="11" max="11" width="18.00390625" style="132" customWidth="1"/>
    <col min="12" max="16384" width="9.140625" style="132" customWidth="1"/>
  </cols>
  <sheetData>
    <row r="1" spans="4:11" ht="15" customHeight="1">
      <c r="D1" s="315"/>
      <c r="E1" s="315"/>
      <c r="F1" s="315"/>
      <c r="G1" s="315"/>
      <c r="H1" s="315"/>
      <c r="I1" s="315"/>
      <c r="J1" s="315"/>
      <c r="K1" s="315"/>
    </row>
    <row r="2" spans="2:11" ht="15" customHeight="1">
      <c r="B2" s="171"/>
      <c r="C2" s="171"/>
      <c r="D2" s="316"/>
      <c r="E2" s="316"/>
      <c r="F2" s="316"/>
      <c r="G2" s="316"/>
      <c r="H2" s="316"/>
      <c r="I2" s="316"/>
      <c r="J2" s="316"/>
      <c r="K2" s="316"/>
    </row>
    <row r="3" spans="2:11" ht="15" customHeight="1">
      <c r="B3" s="172"/>
      <c r="C3" s="172"/>
      <c r="D3" s="316"/>
      <c r="E3" s="316"/>
      <c r="F3" s="316"/>
      <c r="G3" s="316"/>
      <c r="H3" s="316"/>
      <c r="I3" s="316"/>
      <c r="J3" s="316"/>
      <c r="K3" s="316"/>
    </row>
    <row r="4" spans="2:11" ht="15" customHeight="1">
      <c r="B4" s="171"/>
      <c r="C4" s="171"/>
      <c r="D4" s="316"/>
      <c r="E4" s="316"/>
      <c r="F4" s="316"/>
      <c r="G4" s="316"/>
      <c r="H4" s="316"/>
      <c r="I4" s="316"/>
      <c r="J4" s="316"/>
      <c r="K4" s="316"/>
    </row>
    <row r="5" spans="2:11" ht="15" customHeight="1">
      <c r="B5" s="173"/>
      <c r="C5" s="173"/>
      <c r="D5" s="316"/>
      <c r="E5" s="316"/>
      <c r="F5" s="316"/>
      <c r="G5" s="316"/>
      <c r="H5" s="316"/>
      <c r="I5" s="316"/>
      <c r="J5" s="316"/>
      <c r="K5" s="316"/>
    </row>
    <row r="6" spans="2:11" ht="15" customHeight="1">
      <c r="B6" s="172"/>
      <c r="C6" s="172"/>
      <c r="D6" s="172"/>
      <c r="E6" s="172"/>
      <c r="J6" s="174"/>
      <c r="K6" s="174"/>
    </row>
    <row r="7" spans="2:11" ht="15" customHeight="1">
      <c r="B7" s="172"/>
      <c r="C7" s="172"/>
      <c r="D7" s="172"/>
      <c r="E7" s="172"/>
      <c r="F7" s="172"/>
      <c r="G7" s="172"/>
      <c r="J7" s="174"/>
      <c r="K7" s="174"/>
    </row>
    <row r="8" spans="1:11" ht="15" customHeight="1">
      <c r="A8" s="317"/>
      <c r="B8" s="317"/>
      <c r="C8" s="317"/>
      <c r="D8" s="317"/>
      <c r="E8" s="317"/>
      <c r="F8" s="317"/>
      <c r="G8" s="317"/>
      <c r="H8" s="317"/>
      <c r="I8" s="317"/>
      <c r="J8" s="317"/>
      <c r="K8" s="317"/>
    </row>
    <row r="9" spans="2:7" ht="15" customHeight="1">
      <c r="B9" s="172"/>
      <c r="C9" s="172"/>
      <c r="D9" s="172"/>
      <c r="E9" s="172"/>
      <c r="F9" s="172"/>
      <c r="G9" s="172"/>
    </row>
    <row r="10" spans="2:7" ht="15" customHeight="1">
      <c r="B10" s="172"/>
      <c r="C10" s="172"/>
      <c r="D10" s="172"/>
      <c r="E10" s="172"/>
      <c r="F10" s="172"/>
      <c r="G10" s="172"/>
    </row>
    <row r="11" spans="2:11" ht="15" customHeight="1">
      <c r="B11" s="312"/>
      <c r="C11" s="312"/>
      <c r="D11" s="312"/>
      <c r="E11" s="312"/>
      <c r="F11" s="312"/>
      <c r="G11" s="312"/>
      <c r="H11" s="312"/>
      <c r="I11" s="312"/>
      <c r="J11" s="312"/>
      <c r="K11" s="312"/>
    </row>
    <row r="12" spans="1:11" ht="15" customHeight="1">
      <c r="A12" s="175"/>
      <c r="B12" s="176"/>
      <c r="C12" s="176"/>
      <c r="D12" s="176"/>
      <c r="E12" s="177"/>
      <c r="K12" s="178"/>
    </row>
    <row r="13" spans="1:11" ht="18" customHeight="1">
      <c r="A13" s="283"/>
      <c r="B13" s="283"/>
      <c r="C13" s="283"/>
      <c r="D13" s="283"/>
      <c r="E13" s="179"/>
      <c r="F13" s="314"/>
      <c r="G13" s="314"/>
      <c r="H13" s="314"/>
      <c r="I13" s="314"/>
      <c r="J13" s="314"/>
      <c r="K13" s="314"/>
    </row>
    <row r="14" spans="1:11" s="182" customFormat="1" ht="18" customHeight="1">
      <c r="A14" s="81"/>
      <c r="B14" s="33"/>
      <c r="C14" s="33"/>
      <c r="D14" s="33"/>
      <c r="E14" s="180"/>
      <c r="F14" s="181"/>
      <c r="G14" s="181"/>
      <c r="H14" s="181"/>
      <c r="I14" s="181"/>
      <c r="J14" s="181"/>
      <c r="K14" s="181"/>
    </row>
    <row r="15" spans="1:11" s="182" customFormat="1" ht="18" customHeight="1">
      <c r="A15" s="81"/>
      <c r="B15" s="36"/>
      <c r="C15" s="36"/>
      <c r="D15" s="36"/>
      <c r="E15" s="78"/>
      <c r="F15" s="93"/>
      <c r="G15" s="93"/>
      <c r="H15" s="74"/>
      <c r="I15" s="74"/>
      <c r="J15" s="74"/>
      <c r="K15" s="74"/>
    </row>
    <row r="16" spans="1:11" s="182" customFormat="1" ht="18" customHeight="1">
      <c r="A16" s="81"/>
      <c r="B16" s="36"/>
      <c r="C16" s="36"/>
      <c r="D16" s="36"/>
      <c r="E16" s="79"/>
      <c r="F16" s="94"/>
      <c r="G16" s="94"/>
      <c r="H16" s="69"/>
      <c r="I16" s="69"/>
      <c r="J16" s="69"/>
      <c r="K16" s="69"/>
    </row>
    <row r="17" spans="1:11" s="182" customFormat="1" ht="18" customHeight="1">
      <c r="A17" s="132"/>
      <c r="B17" s="2"/>
      <c r="C17" s="2"/>
      <c r="D17" s="8"/>
      <c r="E17" s="9"/>
      <c r="F17" s="10"/>
      <c r="G17" s="10"/>
      <c r="H17" s="17"/>
      <c r="J17" s="17"/>
      <c r="K17" s="17"/>
    </row>
    <row r="18" spans="1:11" s="182" customFormat="1" ht="18" customHeight="1">
      <c r="A18" s="132"/>
      <c r="B18" s="2"/>
      <c r="C18" s="2"/>
      <c r="D18" s="8"/>
      <c r="E18" s="9"/>
      <c r="F18" s="10"/>
      <c r="G18" s="10"/>
      <c r="H18" s="17"/>
      <c r="I18" s="17"/>
      <c r="J18" s="17"/>
      <c r="K18" s="17"/>
    </row>
    <row r="19" spans="1:11" s="182" customFormat="1" ht="18" customHeight="1">
      <c r="A19" s="132"/>
      <c r="B19" s="2"/>
      <c r="C19" s="2"/>
      <c r="D19" s="8"/>
      <c r="E19" s="9"/>
      <c r="F19" s="10"/>
      <c r="G19" s="10"/>
      <c r="H19" s="17"/>
      <c r="I19" s="17"/>
      <c r="J19" s="17"/>
      <c r="K19" s="17"/>
    </row>
    <row r="20" spans="1:11" s="182" customFormat="1" ht="18" customHeight="1">
      <c r="A20" s="127"/>
      <c r="B20" s="53"/>
      <c r="C20" s="53"/>
      <c r="D20" s="53"/>
      <c r="E20" s="183"/>
      <c r="F20" s="184"/>
      <c r="G20" s="184"/>
      <c r="H20" s="185"/>
      <c r="I20" s="186"/>
      <c r="J20" s="187"/>
      <c r="K20" s="187"/>
    </row>
    <row r="21" spans="2:11" ht="18" customHeight="1">
      <c r="B21" s="2"/>
      <c r="C21" s="2"/>
      <c r="D21" s="2"/>
      <c r="E21" s="119"/>
      <c r="F21" s="93"/>
      <c r="G21" s="93"/>
      <c r="H21" s="152"/>
      <c r="I21" s="152"/>
      <c r="J21" s="152"/>
      <c r="K21" s="152"/>
    </row>
    <row r="22" spans="2:11" ht="18" customHeight="1">
      <c r="B22" s="2"/>
      <c r="C22" s="2"/>
      <c r="D22" s="2"/>
      <c r="E22" s="120"/>
      <c r="F22" s="94"/>
      <c r="G22" s="94"/>
      <c r="H22" s="153"/>
      <c r="I22" s="153"/>
      <c r="J22" s="153"/>
      <c r="K22" s="153"/>
    </row>
    <row r="23" spans="2:11" ht="16.5">
      <c r="B23" s="2"/>
      <c r="C23" s="2"/>
      <c r="D23" s="8"/>
      <c r="E23" s="9"/>
      <c r="F23" s="10"/>
      <c r="G23" s="10"/>
      <c r="H23" s="136"/>
      <c r="I23" s="136"/>
      <c r="J23" s="139"/>
      <c r="K23" s="139"/>
    </row>
    <row r="24" spans="2:11" ht="16.5">
      <c r="B24" s="2"/>
      <c r="C24" s="2"/>
      <c r="D24" s="8"/>
      <c r="E24" s="9"/>
      <c r="F24" s="10"/>
      <c r="G24" s="10"/>
      <c r="H24" s="136"/>
      <c r="I24" s="136"/>
      <c r="J24" s="139"/>
      <c r="K24" s="139"/>
    </row>
    <row r="25" spans="2:11" ht="16.5">
      <c r="B25" s="2"/>
      <c r="C25" s="2"/>
      <c r="D25" s="8"/>
      <c r="E25" s="9"/>
      <c r="F25" s="10"/>
      <c r="G25" s="10"/>
      <c r="H25" s="136"/>
      <c r="I25" s="136"/>
      <c r="J25" s="139"/>
      <c r="K25" s="139"/>
    </row>
    <row r="26" spans="2:11" ht="16.5">
      <c r="B26" s="2"/>
      <c r="C26" s="2"/>
      <c r="D26" s="8"/>
      <c r="E26" s="9"/>
      <c r="F26" s="10"/>
      <c r="G26" s="10"/>
      <c r="H26" s="136"/>
      <c r="I26" s="136"/>
      <c r="J26" s="139"/>
      <c r="K26" s="139"/>
    </row>
    <row r="27" spans="2:11" ht="16.5">
      <c r="B27" s="2"/>
      <c r="C27" s="2"/>
      <c r="D27" s="8"/>
      <c r="E27" s="9"/>
      <c r="F27" s="10"/>
      <c r="G27" s="10"/>
      <c r="H27" s="136"/>
      <c r="I27" s="136"/>
      <c r="J27" s="136"/>
      <c r="K27" s="139"/>
    </row>
    <row r="28" spans="2:11" ht="16.5">
      <c r="B28" s="2"/>
      <c r="C28" s="2"/>
      <c r="D28" s="8"/>
      <c r="E28" s="9"/>
      <c r="F28" s="10"/>
      <c r="G28" s="10"/>
      <c r="H28" s="136"/>
      <c r="I28" s="136"/>
      <c r="J28" s="139"/>
      <c r="K28" s="136"/>
    </row>
    <row r="29" spans="2:11" ht="16.5">
      <c r="B29" s="2"/>
      <c r="C29" s="2"/>
      <c r="D29" s="8"/>
      <c r="E29" s="9"/>
      <c r="F29" s="10"/>
      <c r="G29" s="10"/>
      <c r="H29" s="136"/>
      <c r="I29" s="136"/>
      <c r="J29" s="139"/>
      <c r="K29" s="136"/>
    </row>
    <row r="30" spans="2:11" ht="18" customHeight="1">
      <c r="B30" s="2"/>
      <c r="C30" s="2"/>
      <c r="D30" s="12"/>
      <c r="E30" s="9"/>
      <c r="F30" s="10"/>
      <c r="G30" s="10"/>
      <c r="H30" s="136"/>
      <c r="I30" s="136"/>
      <c r="J30" s="139"/>
      <c r="K30" s="139"/>
    </row>
    <row r="31" spans="2:11" ht="18" customHeight="1">
      <c r="B31" s="2"/>
      <c r="C31" s="2"/>
      <c r="D31" s="2"/>
      <c r="E31" s="119"/>
      <c r="F31" s="93"/>
      <c r="G31" s="93"/>
      <c r="H31" s="138"/>
      <c r="I31" s="138"/>
      <c r="J31" s="138"/>
      <c r="K31" s="138"/>
    </row>
    <row r="32" spans="2:11" ht="18" customHeight="1">
      <c r="B32" s="2"/>
      <c r="C32" s="2"/>
      <c r="D32" s="2"/>
      <c r="E32" s="120"/>
      <c r="F32" s="94"/>
      <c r="G32" s="94"/>
      <c r="H32" s="135"/>
      <c r="I32" s="135"/>
      <c r="J32" s="135"/>
      <c r="K32" s="135"/>
    </row>
    <row r="33" spans="2:11" ht="18" customHeight="1">
      <c r="B33" s="2"/>
      <c r="C33" s="2"/>
      <c r="D33" s="8"/>
      <c r="E33" s="58"/>
      <c r="F33" s="10"/>
      <c r="G33" s="10"/>
      <c r="H33" s="136"/>
      <c r="I33" s="136"/>
      <c r="J33" s="136"/>
      <c r="K33" s="139"/>
    </row>
    <row r="34" spans="2:11" ht="18" customHeight="1">
      <c r="B34" s="2"/>
      <c r="C34" s="2"/>
      <c r="D34" s="8"/>
      <c r="E34" s="58"/>
      <c r="F34" s="10"/>
      <c r="G34" s="10"/>
      <c r="H34" s="136"/>
      <c r="I34" s="136"/>
      <c r="J34" s="139"/>
      <c r="K34" s="136"/>
    </row>
    <row r="35" spans="2:11" ht="18" customHeight="1">
      <c r="B35" s="2"/>
      <c r="C35" s="2"/>
      <c r="D35" s="8"/>
      <c r="E35" s="58"/>
      <c r="F35" s="10"/>
      <c r="G35" s="10"/>
      <c r="H35" s="136"/>
      <c r="I35" s="136"/>
      <c r="J35" s="139"/>
      <c r="K35" s="136"/>
    </row>
    <row r="36" spans="2:11" ht="18" customHeight="1">
      <c r="B36" s="2"/>
      <c r="C36" s="2"/>
      <c r="D36" s="8"/>
      <c r="E36" s="58"/>
      <c r="F36" s="10"/>
      <c r="G36" s="10"/>
      <c r="H36" s="136"/>
      <c r="I36" s="136"/>
      <c r="J36" s="136"/>
      <c r="K36" s="139"/>
    </row>
    <row r="37" spans="2:11" ht="18" customHeight="1">
      <c r="B37" s="2"/>
      <c r="C37" s="2"/>
      <c r="D37" s="8"/>
      <c r="E37" s="58"/>
      <c r="F37" s="10"/>
      <c r="G37" s="10"/>
      <c r="H37" s="136"/>
      <c r="I37" s="136"/>
      <c r="J37" s="139"/>
      <c r="K37" s="139"/>
    </row>
    <row r="38" spans="2:11" ht="18" customHeight="1">
      <c r="B38" s="2"/>
      <c r="C38" s="2"/>
      <c r="D38" s="8"/>
      <c r="E38" s="58"/>
      <c r="F38" s="10"/>
      <c r="G38" s="10"/>
      <c r="H38" s="136"/>
      <c r="I38" s="136"/>
      <c r="J38" s="139"/>
      <c r="K38" s="139"/>
    </row>
    <row r="39" spans="2:11" ht="18" customHeight="1">
      <c r="B39" s="2"/>
      <c r="C39" s="2"/>
      <c r="D39" s="8"/>
      <c r="E39" s="58"/>
      <c r="F39" s="10"/>
      <c r="G39" s="10"/>
      <c r="H39" s="136"/>
      <c r="I39" s="136"/>
      <c r="J39" s="139"/>
      <c r="K39" s="139"/>
    </row>
    <row r="40" spans="2:11" ht="33.75" customHeight="1">
      <c r="B40" s="2"/>
      <c r="C40" s="2"/>
      <c r="D40" s="8"/>
      <c r="E40" s="58"/>
      <c r="F40" s="10"/>
      <c r="G40" s="10"/>
      <c r="H40" s="136"/>
      <c r="I40" s="136"/>
      <c r="J40" s="139"/>
      <c r="K40" s="139"/>
    </row>
    <row r="41" spans="2:11" ht="15.75" customHeight="1">
      <c r="B41" s="2"/>
      <c r="C41" s="2"/>
      <c r="D41" s="8"/>
      <c r="E41" s="58"/>
      <c r="F41" s="10"/>
      <c r="G41" s="10"/>
      <c r="H41" s="136"/>
      <c r="I41" s="136"/>
      <c r="J41" s="139"/>
      <c r="K41" s="139"/>
    </row>
    <row r="42" spans="2:11" ht="15.75" customHeight="1">
      <c r="B42" s="2"/>
      <c r="C42" s="2"/>
      <c r="D42" s="8"/>
      <c r="E42" s="9"/>
      <c r="F42" s="10"/>
      <c r="G42" s="10"/>
      <c r="H42" s="136"/>
      <c r="I42" s="136"/>
      <c r="J42" s="139"/>
      <c r="K42" s="139"/>
    </row>
    <row r="43" spans="2:11" ht="16.5">
      <c r="B43" s="2"/>
      <c r="C43" s="2"/>
      <c r="D43" s="8"/>
      <c r="E43" s="9"/>
      <c r="F43" s="10"/>
      <c r="G43" s="10"/>
      <c r="H43" s="136"/>
      <c r="I43" s="136"/>
      <c r="J43" s="139"/>
      <c r="K43" s="139"/>
    </row>
    <row r="44" spans="2:11" ht="15.75" customHeight="1">
      <c r="B44" s="2"/>
      <c r="C44" s="2"/>
      <c r="D44" s="8"/>
      <c r="E44" s="9"/>
      <c r="F44" s="10"/>
      <c r="G44" s="10"/>
      <c r="H44" s="136"/>
      <c r="I44" s="136"/>
      <c r="J44" s="139"/>
      <c r="K44" s="139"/>
    </row>
    <row r="45" spans="2:11" ht="15.75" customHeight="1">
      <c r="B45" s="2"/>
      <c r="C45" s="2"/>
      <c r="D45" s="8"/>
      <c r="E45" s="9"/>
      <c r="F45" s="10"/>
      <c r="G45" s="10"/>
      <c r="H45" s="136"/>
      <c r="I45" s="139"/>
      <c r="J45" s="136"/>
      <c r="K45" s="139"/>
    </row>
    <row r="46" spans="2:11" ht="15.75" customHeight="1">
      <c r="B46" s="2"/>
      <c r="C46" s="2"/>
      <c r="D46" s="8"/>
      <c r="E46" s="9"/>
      <c r="F46" s="10"/>
      <c r="G46" s="10"/>
      <c r="H46" s="136"/>
      <c r="I46" s="136"/>
      <c r="J46" s="139"/>
      <c r="K46" s="136"/>
    </row>
    <row r="47" spans="2:11" ht="15.75" customHeight="1">
      <c r="B47" s="2"/>
      <c r="C47" s="2"/>
      <c r="D47" s="8"/>
      <c r="E47" s="9"/>
      <c r="F47" s="10"/>
      <c r="G47" s="10"/>
      <c r="H47" s="136"/>
      <c r="I47" s="136"/>
      <c r="J47" s="139"/>
      <c r="K47" s="136"/>
    </row>
    <row r="48" spans="2:11" ht="15.75" customHeight="1">
      <c r="B48" s="2"/>
      <c r="C48" s="2"/>
      <c r="D48" s="8"/>
      <c r="E48" s="9"/>
      <c r="F48" s="10"/>
      <c r="G48" s="10"/>
      <c r="H48" s="136"/>
      <c r="I48" s="136"/>
      <c r="J48" s="139"/>
      <c r="K48" s="136"/>
    </row>
    <row r="49" spans="2:11" ht="15.75" customHeight="1">
      <c r="B49" s="2"/>
      <c r="C49" s="2"/>
      <c r="D49" s="8"/>
      <c r="E49" s="9"/>
      <c r="F49" s="10"/>
      <c r="G49" s="10"/>
      <c r="H49" s="136"/>
      <c r="I49" s="136"/>
      <c r="J49" s="139"/>
      <c r="K49" s="136"/>
    </row>
    <row r="50" spans="2:11" ht="15.75" customHeight="1">
      <c r="B50" s="2"/>
      <c r="C50" s="2"/>
      <c r="D50" s="8"/>
      <c r="E50" s="9"/>
      <c r="F50" s="10"/>
      <c r="G50" s="10"/>
      <c r="H50" s="136"/>
      <c r="I50" s="136"/>
      <c r="J50" s="139"/>
      <c r="K50" s="136"/>
    </row>
    <row r="51" spans="2:11" ht="15.75" customHeight="1">
      <c r="B51" s="2"/>
      <c r="C51" s="2"/>
      <c r="D51" s="8"/>
      <c r="E51" s="9"/>
      <c r="F51" s="10"/>
      <c r="G51" s="10"/>
      <c r="H51" s="136"/>
      <c r="I51" s="136"/>
      <c r="J51" s="139"/>
      <c r="K51" s="136"/>
    </row>
    <row r="52" spans="2:11" ht="15.75" customHeight="1">
      <c r="B52" s="2"/>
      <c r="C52" s="2"/>
      <c r="D52" s="8"/>
      <c r="E52" s="9"/>
      <c r="F52" s="10"/>
      <c r="G52" s="10"/>
      <c r="H52" s="136"/>
      <c r="I52" s="136"/>
      <c r="J52" s="139"/>
      <c r="K52" s="136"/>
    </row>
    <row r="53" spans="2:11" ht="15.75" customHeight="1">
      <c r="B53" s="2"/>
      <c r="C53" s="2"/>
      <c r="D53" s="8"/>
      <c r="E53" s="9"/>
      <c r="F53" s="10"/>
      <c r="G53" s="10"/>
      <c r="H53" s="136"/>
      <c r="I53" s="136"/>
      <c r="J53" s="139"/>
      <c r="K53" s="136"/>
    </row>
    <row r="54" spans="2:11" ht="15.75" customHeight="1">
      <c r="B54" s="2"/>
      <c r="C54" s="2"/>
      <c r="D54" s="8"/>
      <c r="E54" s="9"/>
      <c r="F54" s="10"/>
      <c r="G54" s="10"/>
      <c r="H54" s="136"/>
      <c r="I54" s="136"/>
      <c r="J54" s="139"/>
      <c r="K54" s="136"/>
    </row>
    <row r="55" spans="1:11" s="175" customFormat="1" ht="15.75" customHeight="1">
      <c r="A55" s="132"/>
      <c r="B55" s="2"/>
      <c r="C55" s="2"/>
      <c r="D55" s="8"/>
      <c r="E55" s="9"/>
      <c r="F55" s="10"/>
      <c r="G55" s="10"/>
      <c r="H55" s="136"/>
      <c r="I55" s="136"/>
      <c r="J55" s="139"/>
      <c r="K55" s="136"/>
    </row>
    <row r="56" spans="2:11" ht="16.5">
      <c r="B56" s="2"/>
      <c r="C56" s="2"/>
      <c r="D56" s="8"/>
      <c r="E56" s="9"/>
      <c r="F56" s="10"/>
      <c r="G56" s="10"/>
      <c r="H56" s="136"/>
      <c r="I56" s="136"/>
      <c r="J56" s="139"/>
      <c r="K56" s="136"/>
    </row>
    <row r="57" spans="2:11" ht="16.5">
      <c r="B57" s="2"/>
      <c r="C57" s="2"/>
      <c r="D57" s="8"/>
      <c r="E57" s="9"/>
      <c r="F57" s="10"/>
      <c r="G57" s="10"/>
      <c r="H57" s="136"/>
      <c r="I57" s="136"/>
      <c r="J57" s="139"/>
      <c r="K57" s="136"/>
    </row>
    <row r="58" spans="2:11" ht="16.5">
      <c r="B58" s="2"/>
      <c r="C58" s="2"/>
      <c r="D58" s="8"/>
      <c r="E58" s="9"/>
      <c r="F58" s="10"/>
      <c r="G58" s="10"/>
      <c r="H58" s="136"/>
      <c r="I58" s="136"/>
      <c r="J58" s="139"/>
      <c r="K58" s="136"/>
    </row>
    <row r="59" spans="2:11" ht="16.5">
      <c r="B59" s="2"/>
      <c r="C59" s="2"/>
      <c r="D59" s="8"/>
      <c r="E59" s="111"/>
      <c r="F59" s="10"/>
      <c r="G59" s="10"/>
      <c r="H59" s="136"/>
      <c r="I59" s="136"/>
      <c r="J59" s="139"/>
      <c r="K59" s="136"/>
    </row>
    <row r="60" spans="2:11" ht="16.5">
      <c r="B60" s="2"/>
      <c r="C60" s="2"/>
      <c r="D60" s="8"/>
      <c r="E60" s="9"/>
      <c r="F60" s="10"/>
      <c r="G60" s="10"/>
      <c r="H60" s="136"/>
      <c r="I60" s="136"/>
      <c r="J60" s="139"/>
      <c r="K60" s="136"/>
    </row>
    <row r="61" spans="2:11" ht="18" customHeight="1">
      <c r="B61" s="2"/>
      <c r="C61" s="2"/>
      <c r="D61" s="2"/>
      <c r="E61" s="119"/>
      <c r="F61" s="93"/>
      <c r="G61" s="93"/>
      <c r="H61" s="138"/>
      <c r="I61" s="138"/>
      <c r="J61" s="138"/>
      <c r="K61" s="138"/>
    </row>
    <row r="62" spans="2:11" ht="18" customHeight="1">
      <c r="B62" s="2"/>
      <c r="C62" s="2"/>
      <c r="D62" s="2"/>
      <c r="E62" s="120"/>
      <c r="F62" s="94"/>
      <c r="G62" s="94"/>
      <c r="H62" s="135"/>
      <c r="I62" s="135"/>
      <c r="J62" s="135"/>
      <c r="K62" s="135"/>
    </row>
    <row r="63" spans="2:11" ht="18" customHeight="1">
      <c r="B63" s="2"/>
      <c r="C63" s="2"/>
      <c r="D63" s="8"/>
      <c r="E63" s="9"/>
      <c r="F63" s="10"/>
      <c r="G63" s="10"/>
      <c r="H63" s="136"/>
      <c r="I63" s="136"/>
      <c r="J63" s="139"/>
      <c r="K63" s="139"/>
    </row>
    <row r="64" spans="2:11" ht="18" customHeight="1">
      <c r="B64" s="2"/>
      <c r="C64" s="2"/>
      <c r="D64" s="8"/>
      <c r="E64" s="9"/>
      <c r="F64" s="10"/>
      <c r="G64" s="10"/>
      <c r="H64" s="136"/>
      <c r="I64" s="136"/>
      <c r="J64" s="139"/>
      <c r="K64" s="139"/>
    </row>
    <row r="65" spans="2:11" ht="31.5" customHeight="1">
      <c r="B65" s="2"/>
      <c r="C65" s="2"/>
      <c r="D65" s="8"/>
      <c r="E65" s="9"/>
      <c r="F65" s="10"/>
      <c r="G65" s="10"/>
      <c r="H65" s="136"/>
      <c r="I65" s="136"/>
      <c r="J65" s="136"/>
      <c r="K65" s="139"/>
    </row>
    <row r="66" spans="2:11" ht="16.5">
      <c r="B66" s="2"/>
      <c r="C66" s="2"/>
      <c r="D66" s="8"/>
      <c r="E66" s="9"/>
      <c r="F66" s="10"/>
      <c r="G66" s="10"/>
      <c r="H66" s="136"/>
      <c r="I66" s="136"/>
      <c r="J66" s="139"/>
      <c r="K66" s="136"/>
    </row>
    <row r="67" spans="2:11" ht="18" customHeight="1">
      <c r="B67" s="2"/>
      <c r="C67" s="2"/>
      <c r="D67" s="8"/>
      <c r="E67" s="9"/>
      <c r="F67" s="10"/>
      <c r="G67" s="10"/>
      <c r="H67" s="136"/>
      <c r="I67" s="136"/>
      <c r="J67" s="139"/>
      <c r="K67" s="136"/>
    </row>
    <row r="68" spans="2:11" ht="51" customHeight="1">
      <c r="B68" s="2"/>
      <c r="C68" s="2"/>
      <c r="D68" s="8"/>
      <c r="E68" s="9"/>
      <c r="F68" s="10"/>
      <c r="G68" s="10"/>
      <c r="H68" s="136"/>
      <c r="I68" s="139"/>
      <c r="J68" s="136"/>
      <c r="K68" s="139"/>
    </row>
    <row r="69" spans="2:11" ht="48.75" customHeight="1">
      <c r="B69" s="2"/>
      <c r="C69" s="2"/>
      <c r="D69" s="8"/>
      <c r="E69" s="9"/>
      <c r="F69" s="10"/>
      <c r="G69" s="10"/>
      <c r="H69" s="136"/>
      <c r="I69" s="136"/>
      <c r="J69" s="139"/>
      <c r="K69" s="139"/>
    </row>
    <row r="70" spans="2:11" ht="48.75" customHeight="1">
      <c r="B70" s="2"/>
      <c r="C70" s="2"/>
      <c r="D70" s="8"/>
      <c r="E70" s="9"/>
      <c r="F70" s="10"/>
      <c r="G70" s="10"/>
      <c r="H70" s="136"/>
      <c r="I70" s="136"/>
      <c r="J70" s="139"/>
      <c r="K70" s="139"/>
    </row>
    <row r="71" spans="2:11" ht="35.25" customHeight="1">
      <c r="B71" s="2"/>
      <c r="C71" s="2"/>
      <c r="D71" s="8"/>
      <c r="E71" s="9"/>
      <c r="F71" s="10"/>
      <c r="G71" s="10"/>
      <c r="H71" s="136"/>
      <c r="I71" s="139"/>
      <c r="J71" s="136"/>
      <c r="K71" s="139"/>
    </row>
    <row r="72" spans="2:11" ht="32.25" customHeight="1">
      <c r="B72" s="2"/>
      <c r="C72" s="2"/>
      <c r="D72" s="8"/>
      <c r="E72" s="9"/>
      <c r="F72" s="10"/>
      <c r="G72" s="10"/>
      <c r="H72" s="136"/>
      <c r="I72" s="136"/>
      <c r="J72" s="139"/>
      <c r="K72" s="136"/>
    </row>
    <row r="73" spans="2:11" ht="57" customHeight="1">
      <c r="B73" s="2"/>
      <c r="C73" s="2"/>
      <c r="D73" s="8"/>
      <c r="E73" s="9"/>
      <c r="F73" s="10"/>
      <c r="G73" s="10"/>
      <c r="H73" s="136"/>
      <c r="I73" s="136"/>
      <c r="J73" s="139"/>
      <c r="K73" s="136"/>
    </row>
    <row r="74" spans="2:11" ht="18" customHeight="1">
      <c r="B74" s="2"/>
      <c r="C74" s="2"/>
      <c r="D74" s="12"/>
      <c r="E74" s="9"/>
      <c r="F74" s="10"/>
      <c r="G74" s="10"/>
      <c r="H74" s="136"/>
      <c r="I74" s="136"/>
      <c r="J74" s="139"/>
      <c r="K74" s="139"/>
    </row>
    <row r="75" spans="2:11" ht="18" customHeight="1">
      <c r="B75" s="2"/>
      <c r="C75" s="2"/>
      <c r="D75" s="2"/>
      <c r="E75" s="119"/>
      <c r="F75" s="93"/>
      <c r="G75" s="93"/>
      <c r="H75" s="138"/>
      <c r="I75" s="138"/>
      <c r="J75" s="138"/>
      <c r="K75" s="138"/>
    </row>
    <row r="76" spans="2:11" ht="18" customHeight="1">
      <c r="B76" s="2"/>
      <c r="C76" s="2"/>
      <c r="D76" s="2"/>
      <c r="E76" s="120"/>
      <c r="F76" s="94"/>
      <c r="G76" s="94"/>
      <c r="H76" s="135"/>
      <c r="I76" s="135"/>
      <c r="J76" s="135"/>
      <c r="K76" s="135"/>
    </row>
    <row r="77" spans="2:11" ht="33.75" customHeight="1">
      <c r="B77" s="2"/>
      <c r="C77" s="2"/>
      <c r="D77" s="8"/>
      <c r="E77" s="9"/>
      <c r="F77" s="94"/>
      <c r="G77" s="94"/>
      <c r="H77" s="135"/>
      <c r="I77" s="136"/>
      <c r="J77" s="135"/>
      <c r="K77" s="136"/>
    </row>
    <row r="78" spans="2:11" ht="16.5">
      <c r="B78" s="2"/>
      <c r="C78" s="2"/>
      <c r="D78" s="8"/>
      <c r="E78" s="9"/>
      <c r="F78" s="10"/>
      <c r="G78" s="10"/>
      <c r="H78" s="136"/>
      <c r="I78" s="136"/>
      <c r="J78" s="139"/>
      <c r="K78" s="139"/>
    </row>
    <row r="79" spans="2:11" ht="16.5">
      <c r="B79" s="2"/>
      <c r="C79" s="2"/>
      <c r="D79" s="8"/>
      <c r="E79" s="9"/>
      <c r="F79" s="10"/>
      <c r="G79" s="10"/>
      <c r="H79" s="136"/>
      <c r="I79" s="136"/>
      <c r="J79" s="139"/>
      <c r="K79" s="139"/>
    </row>
    <row r="80" spans="2:11" ht="18" customHeight="1">
      <c r="B80" s="2"/>
      <c r="C80" s="2"/>
      <c r="D80" s="8"/>
      <c r="E80" s="9"/>
      <c r="F80" s="10"/>
      <c r="G80" s="10"/>
      <c r="H80" s="136"/>
      <c r="I80" s="136"/>
      <c r="J80" s="139"/>
      <c r="K80" s="139"/>
    </row>
    <row r="81" spans="2:11" ht="18" customHeight="1">
      <c r="B81" s="2"/>
      <c r="C81" s="2"/>
      <c r="D81" s="8"/>
      <c r="E81" s="9"/>
      <c r="F81" s="10"/>
      <c r="G81" s="10"/>
      <c r="H81" s="136"/>
      <c r="I81" s="141"/>
      <c r="J81" s="139"/>
      <c r="K81" s="136"/>
    </row>
    <row r="82" spans="2:11" ht="18" customHeight="1">
      <c r="B82" s="2"/>
      <c r="C82" s="2"/>
      <c r="D82" s="8"/>
      <c r="E82" s="9"/>
      <c r="F82" s="10"/>
      <c r="G82" s="10"/>
      <c r="H82" s="136"/>
      <c r="I82" s="136"/>
      <c r="J82" s="139"/>
      <c r="K82" s="139"/>
    </row>
    <row r="83" spans="2:11" ht="18" customHeight="1">
      <c r="B83" s="2"/>
      <c r="C83" s="2"/>
      <c r="D83" s="8"/>
      <c r="E83" s="9"/>
      <c r="F83" s="10"/>
      <c r="G83" s="10"/>
      <c r="H83" s="136"/>
      <c r="I83" s="136"/>
      <c r="J83" s="139"/>
      <c r="K83" s="139"/>
    </row>
    <row r="84" spans="2:11" ht="18" customHeight="1">
      <c r="B84" s="2"/>
      <c r="C84" s="2"/>
      <c r="D84" s="8"/>
      <c r="E84" s="9"/>
      <c r="F84" s="10"/>
      <c r="G84" s="10"/>
      <c r="H84" s="136"/>
      <c r="I84" s="136"/>
      <c r="J84" s="139"/>
      <c r="K84" s="139"/>
    </row>
    <row r="85" spans="2:11" ht="18" customHeight="1">
      <c r="B85" s="2"/>
      <c r="C85" s="2"/>
      <c r="D85" s="8"/>
      <c r="E85" s="9"/>
      <c r="F85" s="10"/>
      <c r="G85" s="10"/>
      <c r="H85" s="136"/>
      <c r="I85" s="136"/>
      <c r="J85" s="139"/>
      <c r="K85" s="136"/>
    </row>
    <row r="86" spans="2:11" ht="18" customHeight="1">
      <c r="B86" s="2"/>
      <c r="C86" s="2"/>
      <c r="D86" s="8"/>
      <c r="E86" s="9"/>
      <c r="F86" s="10"/>
      <c r="G86" s="10"/>
      <c r="H86" s="136"/>
      <c r="I86" s="136"/>
      <c r="J86" s="139"/>
      <c r="K86" s="139"/>
    </row>
    <row r="87" spans="2:11" ht="18" customHeight="1">
      <c r="B87" s="2"/>
      <c r="C87" s="2"/>
      <c r="D87" s="8"/>
      <c r="E87" s="9"/>
      <c r="F87" s="10"/>
      <c r="G87" s="10"/>
      <c r="H87" s="136"/>
      <c r="I87" s="136"/>
      <c r="J87" s="139"/>
      <c r="K87" s="139"/>
    </row>
    <row r="88" spans="2:11" ht="18" customHeight="1">
      <c r="B88" s="2"/>
      <c r="C88" s="2"/>
      <c r="D88" s="8"/>
      <c r="E88" s="9"/>
      <c r="F88" s="10"/>
      <c r="G88" s="10"/>
      <c r="H88" s="136"/>
      <c r="I88" s="136"/>
      <c r="J88" s="139"/>
      <c r="K88" s="139"/>
    </row>
    <row r="89" spans="2:11" ht="18" customHeight="1">
      <c r="B89" s="2"/>
      <c r="C89" s="2"/>
      <c r="D89" s="2"/>
      <c r="E89" s="119"/>
      <c r="F89" s="93"/>
      <c r="G89" s="93"/>
      <c r="H89" s="138"/>
      <c r="I89" s="138"/>
      <c r="J89" s="138"/>
      <c r="K89" s="138"/>
    </row>
    <row r="90" spans="2:11" ht="18" customHeight="1">
      <c r="B90" s="2"/>
      <c r="C90" s="2"/>
      <c r="D90" s="2"/>
      <c r="E90" s="120"/>
      <c r="F90" s="94"/>
      <c r="G90" s="94"/>
      <c r="H90" s="135"/>
      <c r="I90" s="135"/>
      <c r="J90" s="135"/>
      <c r="K90" s="135"/>
    </row>
    <row r="91" spans="2:11" ht="18" customHeight="1">
      <c r="B91" s="2"/>
      <c r="C91" s="2"/>
      <c r="D91" s="8"/>
      <c r="E91" s="9"/>
      <c r="F91" s="10"/>
      <c r="G91" s="10"/>
      <c r="H91" s="136"/>
      <c r="I91" s="136"/>
      <c r="J91" s="136"/>
      <c r="K91" s="139"/>
    </row>
    <row r="92" spans="2:11" ht="18" customHeight="1">
      <c r="B92" s="2"/>
      <c r="C92" s="2"/>
      <c r="D92" s="8"/>
      <c r="E92" s="9"/>
      <c r="F92" s="10"/>
      <c r="G92" s="10"/>
      <c r="H92" s="136"/>
      <c r="I92" s="136"/>
      <c r="J92" s="139"/>
      <c r="K92" s="139"/>
    </row>
    <row r="93" spans="2:11" ht="18" customHeight="1">
      <c r="B93" s="2"/>
      <c r="C93" s="2"/>
      <c r="D93" s="8"/>
      <c r="E93" s="9"/>
      <c r="F93" s="10"/>
      <c r="G93" s="10"/>
      <c r="H93" s="136"/>
      <c r="I93" s="136"/>
      <c r="J93" s="139"/>
      <c r="K93" s="139"/>
    </row>
    <row r="94" spans="2:11" ht="18" customHeight="1">
      <c r="B94" s="2"/>
      <c r="C94" s="2"/>
      <c r="D94" s="8"/>
      <c r="E94" s="9"/>
      <c r="F94" s="10"/>
      <c r="G94" s="10"/>
      <c r="H94" s="136"/>
      <c r="I94" s="136"/>
      <c r="J94" s="136"/>
      <c r="K94" s="139"/>
    </row>
    <row r="95" spans="2:11" ht="18" customHeight="1">
      <c r="B95" s="2"/>
      <c r="C95" s="2"/>
      <c r="D95" s="8"/>
      <c r="E95" s="9"/>
      <c r="F95" s="10"/>
      <c r="G95" s="10"/>
      <c r="H95" s="136"/>
      <c r="I95" s="136"/>
      <c r="J95" s="139"/>
      <c r="K95" s="139"/>
    </row>
    <row r="96" spans="2:11" ht="18" customHeight="1">
      <c r="B96" s="2"/>
      <c r="C96" s="2"/>
      <c r="D96" s="8"/>
      <c r="E96" s="9"/>
      <c r="F96" s="10"/>
      <c r="G96" s="10"/>
      <c r="H96" s="136"/>
      <c r="I96" s="141"/>
      <c r="J96" s="141"/>
      <c r="K96" s="141"/>
    </row>
    <row r="97" spans="2:11" ht="18" customHeight="1">
      <c r="B97" s="2"/>
      <c r="C97" s="2"/>
      <c r="D97" s="8"/>
      <c r="E97" s="9"/>
      <c r="F97" s="10"/>
      <c r="G97" s="10"/>
      <c r="H97" s="136"/>
      <c r="I97" s="136"/>
      <c r="J97" s="139"/>
      <c r="K97" s="139"/>
    </row>
    <row r="98" spans="2:11" ht="16.5">
      <c r="B98" s="2"/>
      <c r="C98" s="2"/>
      <c r="D98" s="8"/>
      <c r="E98" s="9"/>
      <c r="F98" s="10"/>
      <c r="G98" s="10"/>
      <c r="H98" s="136"/>
      <c r="I98" s="136"/>
      <c r="J98" s="139"/>
      <c r="K98" s="139"/>
    </row>
    <row r="99" spans="2:11" ht="50.25" customHeight="1">
      <c r="B99" s="2"/>
      <c r="C99" s="2"/>
      <c r="D99" s="8"/>
      <c r="E99" s="9"/>
      <c r="F99" s="10"/>
      <c r="G99" s="10"/>
      <c r="H99" s="136"/>
      <c r="I99" s="136"/>
      <c r="J99" s="139"/>
      <c r="K99" s="136"/>
    </row>
    <row r="100" spans="2:11" ht="16.5">
      <c r="B100" s="2"/>
      <c r="C100" s="2"/>
      <c r="D100" s="8"/>
      <c r="E100" s="9"/>
      <c r="F100" s="10"/>
      <c r="G100" s="10"/>
      <c r="H100" s="136"/>
      <c r="I100" s="136"/>
      <c r="J100" s="139"/>
      <c r="K100" s="139"/>
    </row>
    <row r="101" spans="2:11" ht="16.5">
      <c r="B101" s="2"/>
      <c r="C101" s="2"/>
      <c r="D101" s="8"/>
      <c r="E101" s="9"/>
      <c r="F101" s="10"/>
      <c r="G101" s="10"/>
      <c r="H101" s="136"/>
      <c r="I101" s="136"/>
      <c r="J101" s="139"/>
      <c r="K101" s="139"/>
    </row>
    <row r="102" spans="2:11" ht="16.5">
      <c r="B102" s="2"/>
      <c r="C102" s="2"/>
      <c r="D102" s="8"/>
      <c r="E102" s="9"/>
      <c r="F102" s="10"/>
      <c r="G102" s="10"/>
      <c r="H102" s="136"/>
      <c r="I102" s="136"/>
      <c r="J102" s="139"/>
      <c r="K102" s="136"/>
    </row>
    <row r="103" spans="2:11" ht="17.25" customHeight="1">
      <c r="B103" s="2"/>
      <c r="C103" s="2"/>
      <c r="D103" s="8"/>
      <c r="E103" s="9"/>
      <c r="F103" s="10"/>
      <c r="G103" s="10"/>
      <c r="H103" s="136"/>
      <c r="I103" s="136"/>
      <c r="J103" s="139"/>
      <c r="K103" s="136"/>
    </row>
    <row r="104" spans="2:11" ht="18" customHeight="1">
      <c r="B104" s="2"/>
      <c r="C104" s="2"/>
      <c r="D104" s="8"/>
      <c r="E104" s="59"/>
      <c r="F104" s="10"/>
      <c r="G104" s="10"/>
      <c r="H104" s="136"/>
      <c r="I104" s="136"/>
      <c r="J104" s="139"/>
      <c r="K104" s="136"/>
    </row>
    <row r="105" spans="2:11" ht="18" customHeight="1">
      <c r="B105" s="2"/>
      <c r="C105" s="2"/>
      <c r="D105" s="8"/>
      <c r="E105" s="59"/>
      <c r="F105" s="10"/>
      <c r="G105" s="10"/>
      <c r="H105" s="136"/>
      <c r="I105" s="136"/>
      <c r="J105" s="139"/>
      <c r="K105" s="136"/>
    </row>
    <row r="106" spans="2:11" ht="16.5">
      <c r="B106" s="2"/>
      <c r="C106" s="2"/>
      <c r="D106" s="8"/>
      <c r="E106" s="9"/>
      <c r="F106" s="10"/>
      <c r="G106" s="10"/>
      <c r="H106" s="136"/>
      <c r="I106" s="136"/>
      <c r="J106" s="139"/>
      <c r="K106" s="136"/>
    </row>
    <row r="107" spans="2:11" ht="16.5">
      <c r="B107" s="2"/>
      <c r="C107" s="2"/>
      <c r="D107" s="8"/>
      <c r="E107" s="9"/>
      <c r="F107" s="10"/>
      <c r="G107" s="10"/>
      <c r="H107" s="136"/>
      <c r="I107" s="136"/>
      <c r="J107" s="139"/>
      <c r="K107" s="139"/>
    </row>
    <row r="108" spans="2:11" ht="16.5">
      <c r="B108" s="2"/>
      <c r="C108" s="2"/>
      <c r="D108" s="8"/>
      <c r="E108" s="9"/>
      <c r="F108" s="10"/>
      <c r="G108" s="10"/>
      <c r="H108" s="136"/>
      <c r="I108" s="136"/>
      <c r="J108" s="139"/>
      <c r="K108" s="139"/>
    </row>
    <row r="109" spans="2:11" ht="16.5">
      <c r="B109" s="2"/>
      <c r="C109" s="2"/>
      <c r="D109" s="8"/>
      <c r="E109" s="9"/>
      <c r="F109" s="10"/>
      <c r="G109" s="10"/>
      <c r="H109" s="136"/>
      <c r="I109" s="136"/>
      <c r="J109" s="139"/>
      <c r="K109" s="136"/>
    </row>
    <row r="110" spans="2:11" ht="16.5">
      <c r="B110" s="2"/>
      <c r="C110" s="2"/>
      <c r="D110" s="8"/>
      <c r="E110" s="9"/>
      <c r="F110" s="10"/>
      <c r="G110" s="10"/>
      <c r="H110" s="136"/>
      <c r="I110" s="136"/>
      <c r="J110" s="139"/>
      <c r="K110" s="139"/>
    </row>
    <row r="111" spans="2:11" ht="18" customHeight="1">
      <c r="B111" s="2"/>
      <c r="C111" s="2"/>
      <c r="D111" s="2"/>
      <c r="E111" s="13"/>
      <c r="F111" s="10"/>
      <c r="G111" s="10"/>
      <c r="H111" s="136"/>
      <c r="I111" s="136"/>
      <c r="J111" s="139"/>
      <c r="K111" s="139"/>
    </row>
    <row r="112" spans="2:11" ht="18" customHeight="1" hidden="1">
      <c r="B112" s="2"/>
      <c r="C112" s="2"/>
      <c r="D112" s="2"/>
      <c r="E112" s="119"/>
      <c r="F112" s="93"/>
      <c r="G112" s="93"/>
      <c r="H112" s="138"/>
      <c r="I112" s="138"/>
      <c r="J112" s="138"/>
      <c r="K112" s="138"/>
    </row>
    <row r="113" spans="2:11" ht="18" customHeight="1" hidden="1">
      <c r="B113" s="2"/>
      <c r="C113" s="2"/>
      <c r="D113" s="2"/>
      <c r="E113" s="120"/>
      <c r="F113" s="94"/>
      <c r="G113" s="94"/>
      <c r="H113" s="135"/>
      <c r="I113" s="135"/>
      <c r="J113" s="135"/>
      <c r="K113" s="135"/>
    </row>
    <row r="114" spans="8:11" ht="16.5" hidden="1">
      <c r="H114" s="136"/>
      <c r="I114" s="136"/>
      <c r="J114" s="139"/>
      <c r="K114" s="139"/>
    </row>
    <row r="115" spans="8:11" ht="16.5" hidden="1">
      <c r="H115" s="138"/>
      <c r="I115" s="138"/>
      <c r="J115" s="138"/>
      <c r="K115" s="138"/>
    </row>
    <row r="116" spans="8:11" ht="16.5" hidden="1">
      <c r="H116" s="135"/>
      <c r="I116" s="135"/>
      <c r="J116" s="135"/>
      <c r="K116" s="135"/>
    </row>
    <row r="117" spans="8:11" ht="16.5" hidden="1">
      <c r="H117" s="136"/>
      <c r="I117" s="139"/>
      <c r="J117" s="136"/>
      <c r="K117" s="139"/>
    </row>
    <row r="118" spans="8:11" ht="16.5" hidden="1">
      <c r="H118" s="136"/>
      <c r="I118" s="136"/>
      <c r="J118" s="139"/>
      <c r="K118" s="139"/>
    </row>
    <row r="119" spans="8:11" ht="16.5" hidden="1">
      <c r="H119" s="136"/>
      <c r="I119" s="136"/>
      <c r="J119" s="139"/>
      <c r="K119" s="139"/>
    </row>
    <row r="120" spans="8:11" ht="16.5" hidden="1">
      <c r="H120" s="136"/>
      <c r="I120" s="139"/>
      <c r="J120" s="136"/>
      <c r="K120" s="139"/>
    </row>
    <row r="121" spans="8:11" ht="16.5" hidden="1">
      <c r="H121" s="136"/>
      <c r="I121" s="136"/>
      <c r="J121" s="139"/>
      <c r="K121" s="139"/>
    </row>
    <row r="122" spans="8:11" ht="16.5" hidden="1">
      <c r="H122" s="136"/>
      <c r="I122" s="136"/>
      <c r="J122" s="139"/>
      <c r="K122" s="139"/>
    </row>
    <row r="123" spans="8:11" ht="16.5" hidden="1">
      <c r="H123" s="136"/>
      <c r="I123" s="136"/>
      <c r="J123" s="139"/>
      <c r="K123" s="139"/>
    </row>
    <row r="124" spans="8:11" ht="16.5" hidden="1">
      <c r="H124" s="136"/>
      <c r="I124" s="136"/>
      <c r="J124" s="139"/>
      <c r="K124" s="139"/>
    </row>
    <row r="125" spans="8:11" ht="16.5" hidden="1">
      <c r="H125" s="136"/>
      <c r="I125" s="139"/>
      <c r="J125" s="136"/>
      <c r="K125" s="139"/>
    </row>
    <row r="126" spans="8:11" ht="16.5" hidden="1">
      <c r="H126" s="146"/>
      <c r="I126" s="136"/>
      <c r="J126" s="139"/>
      <c r="K126" s="136"/>
    </row>
    <row r="127" spans="8:11" ht="16.5" hidden="1">
      <c r="H127" s="146"/>
      <c r="I127" s="136"/>
      <c r="J127" s="139"/>
      <c r="K127" s="136"/>
    </row>
    <row r="128" spans="8:11" ht="16.5" hidden="1">
      <c r="H128" s="146"/>
      <c r="I128" s="136"/>
      <c r="J128" s="139"/>
      <c r="K128" s="136"/>
    </row>
    <row r="129" spans="8:11" ht="16.5" hidden="1">
      <c r="H129" s="146"/>
      <c r="I129" s="136"/>
      <c r="J129" s="139"/>
      <c r="K129" s="136"/>
    </row>
    <row r="130" spans="8:11" ht="16.5" hidden="1">
      <c r="H130" s="146"/>
      <c r="I130" s="136"/>
      <c r="J130" s="139"/>
      <c r="K130" s="136"/>
    </row>
    <row r="131" spans="8:11" ht="16.5" hidden="1">
      <c r="H131" s="146"/>
      <c r="I131" s="136"/>
      <c r="J131" s="139"/>
      <c r="K131" s="136"/>
    </row>
    <row r="132" spans="8:11" ht="16.5" hidden="1">
      <c r="H132" s="146"/>
      <c r="I132" s="136"/>
      <c r="J132" s="139"/>
      <c r="K132" s="136"/>
    </row>
    <row r="133" spans="8:11" ht="16.5" hidden="1">
      <c r="H133" s="136"/>
      <c r="I133" s="139"/>
      <c r="J133" s="136"/>
      <c r="K133" s="136"/>
    </row>
    <row r="134" spans="8:11" ht="16.5" hidden="1">
      <c r="H134" s="136"/>
      <c r="I134" s="139"/>
      <c r="J134" s="136"/>
      <c r="K134" s="136"/>
    </row>
    <row r="135" spans="8:11" ht="16.5" hidden="1">
      <c r="H135" s="136"/>
      <c r="I135" s="136"/>
      <c r="J135" s="136"/>
      <c r="K135" s="136"/>
    </row>
    <row r="136" spans="8:11" ht="16.5" hidden="1">
      <c r="H136" s="136"/>
      <c r="I136" s="136"/>
      <c r="J136" s="136"/>
      <c r="K136" s="136"/>
    </row>
    <row r="137" spans="2:11" ht="15.75" customHeight="1" hidden="1">
      <c r="B137" s="2"/>
      <c r="C137" s="2"/>
      <c r="D137" s="2"/>
      <c r="E137" s="9"/>
      <c r="F137" s="10"/>
      <c r="G137" s="10"/>
      <c r="H137" s="136"/>
      <c r="I137" s="139"/>
      <c r="J137" s="136"/>
      <c r="K137" s="139"/>
    </row>
    <row r="138" spans="2:11" ht="39" customHeight="1">
      <c r="B138" s="2"/>
      <c r="C138" s="2"/>
      <c r="D138" s="2"/>
      <c r="E138" s="119"/>
      <c r="F138" s="93"/>
      <c r="G138" s="93"/>
      <c r="H138" s="138"/>
      <c r="I138" s="138"/>
      <c r="J138" s="138"/>
      <c r="K138" s="138"/>
    </row>
    <row r="139" spans="2:11" ht="15.75" customHeight="1">
      <c r="B139" s="2"/>
      <c r="C139" s="2"/>
      <c r="D139" s="2"/>
      <c r="E139" s="120"/>
      <c r="F139" s="94"/>
      <c r="G139" s="94"/>
      <c r="H139" s="135"/>
      <c r="I139" s="135"/>
      <c r="J139" s="135"/>
      <c r="K139" s="135"/>
    </row>
    <row r="140" spans="2:11" ht="15.75" customHeight="1">
      <c r="B140" s="2"/>
      <c r="C140" s="2"/>
      <c r="D140" s="8"/>
      <c r="E140" s="58"/>
      <c r="F140" s="10"/>
      <c r="G140" s="10"/>
      <c r="H140" s="136"/>
      <c r="I140" s="139"/>
      <c r="J140" s="136"/>
      <c r="K140" s="136"/>
    </row>
    <row r="141" spans="2:11" ht="15.75" customHeight="1">
      <c r="B141" s="2"/>
      <c r="C141" s="2"/>
      <c r="D141" s="8"/>
      <c r="E141" s="58"/>
      <c r="F141" s="10"/>
      <c r="G141" s="10"/>
      <c r="H141" s="136"/>
      <c r="I141" s="136"/>
      <c r="J141" s="136"/>
      <c r="K141" s="136"/>
    </row>
    <row r="142" spans="2:11" ht="15.75" customHeight="1">
      <c r="B142" s="2"/>
      <c r="C142" s="2"/>
      <c r="D142" s="8"/>
      <c r="E142" s="58"/>
      <c r="F142" s="10"/>
      <c r="G142" s="10"/>
      <c r="H142" s="136"/>
      <c r="I142" s="139"/>
      <c r="J142" s="136"/>
      <c r="K142" s="136"/>
    </row>
    <row r="143" spans="2:11" ht="16.5">
      <c r="B143" s="2"/>
      <c r="C143" s="2"/>
      <c r="D143" s="8"/>
      <c r="E143" s="9"/>
      <c r="F143" s="10"/>
      <c r="G143" s="10"/>
      <c r="H143" s="136"/>
      <c r="I143" s="136"/>
      <c r="J143" s="136"/>
      <c r="K143" s="136"/>
    </row>
    <row r="144" spans="2:11" ht="16.5">
      <c r="B144" s="2"/>
      <c r="C144" s="2"/>
      <c r="D144" s="8"/>
      <c r="E144" s="9"/>
      <c r="F144" s="10"/>
      <c r="G144" s="10"/>
      <c r="H144" s="136"/>
      <c r="I144" s="136"/>
      <c r="J144" s="136"/>
      <c r="K144" s="136"/>
    </row>
    <row r="145" spans="1:11" s="175" customFormat="1" ht="16.5">
      <c r="A145" s="132"/>
      <c r="B145" s="2"/>
      <c r="C145" s="2"/>
      <c r="D145" s="8"/>
      <c r="E145" s="9"/>
      <c r="F145" s="10"/>
      <c r="G145" s="10"/>
      <c r="H145" s="136"/>
      <c r="I145" s="136"/>
      <c r="J145" s="136"/>
      <c r="K145" s="136"/>
    </row>
    <row r="146" spans="1:11" s="175" customFormat="1" ht="16.5">
      <c r="A146" s="132"/>
      <c r="B146" s="2"/>
      <c r="C146" s="2"/>
      <c r="D146" s="8"/>
      <c r="E146" s="9"/>
      <c r="F146" s="10"/>
      <c r="G146" s="10"/>
      <c r="H146" s="136"/>
      <c r="I146" s="136"/>
      <c r="J146" s="136"/>
      <c r="K146" s="136"/>
    </row>
    <row r="147" spans="1:11" s="175" customFormat="1" ht="16.5">
      <c r="A147" s="132"/>
      <c r="B147" s="2"/>
      <c r="C147" s="2"/>
      <c r="D147" s="8"/>
      <c r="E147" s="9"/>
      <c r="F147" s="10"/>
      <c r="G147" s="10"/>
      <c r="H147" s="136"/>
      <c r="I147" s="136"/>
      <c r="J147" s="136"/>
      <c r="K147" s="136"/>
    </row>
    <row r="148" spans="2:11" ht="16.5">
      <c r="B148" s="12"/>
      <c r="C148" s="12"/>
      <c r="D148" s="8"/>
      <c r="E148" s="58"/>
      <c r="F148" s="10"/>
      <c r="G148" s="10"/>
      <c r="H148" s="136"/>
      <c r="I148" s="136"/>
      <c r="J148" s="136"/>
      <c r="K148" s="136"/>
    </row>
    <row r="149" spans="2:11" ht="31.5" customHeight="1">
      <c r="B149" s="12"/>
      <c r="C149" s="12"/>
      <c r="D149" s="8"/>
      <c r="E149" s="58"/>
      <c r="F149" s="10"/>
      <c r="G149" s="10"/>
      <c r="H149" s="136"/>
      <c r="I149" s="136"/>
      <c r="J149" s="136"/>
      <c r="K149" s="136"/>
    </row>
    <row r="150" spans="2:11" ht="16.5">
      <c r="B150" s="12"/>
      <c r="C150" s="12"/>
      <c r="D150" s="8"/>
      <c r="E150" s="58"/>
      <c r="F150" s="10"/>
      <c r="G150" s="10"/>
      <c r="H150" s="136"/>
      <c r="I150" s="139"/>
      <c r="J150" s="136"/>
      <c r="K150" s="139"/>
    </row>
    <row r="151" spans="2:11" ht="16.5">
      <c r="B151" s="12"/>
      <c r="C151" s="12"/>
      <c r="D151" s="8"/>
      <c r="E151" s="58"/>
      <c r="F151" s="10"/>
      <c r="G151" s="10"/>
      <c r="H151" s="136"/>
      <c r="I151" s="136"/>
      <c r="J151" s="136"/>
      <c r="K151" s="136"/>
    </row>
    <row r="152" spans="2:11" ht="16.5">
      <c r="B152" s="12"/>
      <c r="C152" s="12"/>
      <c r="D152" s="8"/>
      <c r="E152" s="58"/>
      <c r="F152" s="10"/>
      <c r="G152" s="10"/>
      <c r="H152" s="146"/>
      <c r="I152" s="136"/>
      <c r="J152" s="139"/>
      <c r="K152" s="139"/>
    </row>
    <row r="153" spans="2:11" ht="16.5">
      <c r="B153" s="12"/>
      <c r="C153" s="12"/>
      <c r="D153" s="8"/>
      <c r="E153" s="58"/>
      <c r="F153" s="10"/>
      <c r="G153" s="10"/>
      <c r="H153" s="146"/>
      <c r="I153" s="136"/>
      <c r="J153" s="139"/>
      <c r="K153" s="139"/>
    </row>
    <row r="154" spans="2:11" ht="16.5">
      <c r="B154" s="12"/>
      <c r="C154" s="12"/>
      <c r="D154" s="8"/>
      <c r="E154" s="58"/>
      <c r="F154" s="10"/>
      <c r="G154" s="10"/>
      <c r="H154" s="146"/>
      <c r="I154" s="136"/>
      <c r="J154" s="139"/>
      <c r="K154" s="139"/>
    </row>
    <row r="155" spans="2:11" ht="16.5">
      <c r="B155" s="12"/>
      <c r="C155" s="12"/>
      <c r="D155" s="8"/>
      <c r="E155" s="58"/>
      <c r="F155" s="10"/>
      <c r="G155" s="10"/>
      <c r="H155" s="138"/>
      <c r="I155" s="138"/>
      <c r="J155" s="138"/>
      <c r="K155" s="138"/>
    </row>
    <row r="156" spans="2:11" ht="33" customHeight="1">
      <c r="B156" s="12"/>
      <c r="C156" s="12"/>
      <c r="D156" s="8"/>
      <c r="E156" s="58"/>
      <c r="F156" s="10"/>
      <c r="G156" s="10"/>
      <c r="H156" s="136"/>
      <c r="I156" s="135"/>
      <c r="J156" s="135"/>
      <c r="K156" s="135"/>
    </row>
    <row r="157" spans="2:11" ht="33" customHeight="1">
      <c r="B157" s="12"/>
      <c r="C157" s="12"/>
      <c r="D157" s="8"/>
      <c r="E157" s="58"/>
      <c r="F157" s="10"/>
      <c r="G157" s="10"/>
      <c r="H157" s="146"/>
      <c r="I157" s="136"/>
      <c r="J157" s="139"/>
      <c r="K157" s="139"/>
    </row>
    <row r="158" spans="2:11" ht="32.25" customHeight="1">
      <c r="B158" s="12"/>
      <c r="C158" s="12"/>
      <c r="D158" s="8"/>
      <c r="E158" s="58"/>
      <c r="F158" s="10"/>
      <c r="G158" s="10"/>
      <c r="H158" s="146"/>
      <c r="I158" s="136"/>
      <c r="J158" s="139"/>
      <c r="K158" s="139"/>
    </row>
    <row r="159" spans="2:11" ht="16.5">
      <c r="B159" s="12"/>
      <c r="C159" s="12"/>
      <c r="D159" s="8"/>
      <c r="E159" s="58"/>
      <c r="F159" s="10"/>
      <c r="G159" s="10"/>
      <c r="H159" s="136"/>
      <c r="I159" s="136"/>
      <c r="J159" s="139"/>
      <c r="K159" s="139"/>
    </row>
    <row r="160" spans="2:11" ht="16.5">
      <c r="B160" s="12"/>
      <c r="C160" s="12"/>
      <c r="D160" s="8"/>
      <c r="E160" s="58"/>
      <c r="F160" s="10"/>
      <c r="G160" s="10"/>
      <c r="H160" s="136"/>
      <c r="I160" s="136"/>
      <c r="J160" s="136"/>
      <c r="K160" s="138"/>
    </row>
    <row r="161" spans="2:11" ht="16.5">
      <c r="B161" s="12"/>
      <c r="C161" s="12"/>
      <c r="D161" s="8"/>
      <c r="E161" s="58"/>
      <c r="F161" s="10"/>
      <c r="G161" s="10"/>
      <c r="H161" s="135"/>
      <c r="I161" s="136"/>
      <c r="J161" s="136"/>
      <c r="K161" s="136"/>
    </row>
    <row r="162" spans="2:11" ht="16.5">
      <c r="B162" s="12"/>
      <c r="C162" s="12"/>
      <c r="D162" s="8"/>
      <c r="E162" s="58"/>
      <c r="F162" s="10"/>
      <c r="G162" s="10"/>
      <c r="H162" s="135"/>
      <c r="I162" s="136"/>
      <c r="J162" s="136"/>
      <c r="K162" s="136"/>
    </row>
    <row r="163" spans="2:11" ht="16.5">
      <c r="B163" s="12"/>
      <c r="C163" s="12"/>
      <c r="D163" s="8"/>
      <c r="E163" s="58"/>
      <c r="F163" s="10"/>
      <c r="G163" s="10"/>
      <c r="H163" s="136"/>
      <c r="I163" s="135"/>
      <c r="J163" s="135"/>
      <c r="K163" s="135"/>
    </row>
    <row r="164" spans="2:11" ht="16.5">
      <c r="B164" s="12"/>
      <c r="C164" s="12"/>
      <c r="D164" s="8"/>
      <c r="E164" s="58"/>
      <c r="F164" s="10"/>
      <c r="G164" s="10"/>
      <c r="H164" s="136"/>
      <c r="I164" s="136"/>
      <c r="J164" s="139"/>
      <c r="K164" s="136"/>
    </row>
    <row r="165" spans="2:11" ht="16.5">
      <c r="B165" s="12"/>
      <c r="C165" s="12"/>
      <c r="D165" s="8"/>
      <c r="E165" s="58"/>
      <c r="F165" s="10"/>
      <c r="G165" s="10"/>
      <c r="H165" s="136"/>
      <c r="I165" s="136"/>
      <c r="J165" s="139"/>
      <c r="K165" s="136"/>
    </row>
    <row r="166" spans="2:11" ht="16.5">
      <c r="B166" s="12"/>
      <c r="C166" s="12"/>
      <c r="D166" s="8"/>
      <c r="E166" s="58"/>
      <c r="F166" s="10"/>
      <c r="G166" s="10"/>
      <c r="H166" s="136"/>
      <c r="I166" s="139"/>
      <c r="J166" s="139"/>
      <c r="K166" s="139"/>
    </row>
    <row r="167" spans="2:11" ht="16.5">
      <c r="B167" s="12"/>
      <c r="C167" s="12"/>
      <c r="D167" s="8"/>
      <c r="E167" s="58"/>
      <c r="F167" s="10"/>
      <c r="G167" s="10"/>
      <c r="H167" s="136"/>
      <c r="I167" s="136"/>
      <c r="J167" s="139"/>
      <c r="K167" s="139"/>
    </row>
    <row r="168" spans="2:11" ht="16.5">
      <c r="B168" s="12"/>
      <c r="C168" s="12"/>
      <c r="D168" s="12"/>
      <c r="E168" s="58"/>
      <c r="F168" s="10"/>
      <c r="G168" s="10"/>
      <c r="H168" s="136"/>
      <c r="I168" s="139"/>
      <c r="J168" s="136"/>
      <c r="K168" s="139"/>
    </row>
    <row r="169" spans="2:11" ht="16.5">
      <c r="B169" s="12"/>
      <c r="C169" s="12"/>
      <c r="D169" s="12"/>
      <c r="E169" s="58"/>
      <c r="F169" s="10"/>
      <c r="G169" s="10"/>
      <c r="H169" s="136"/>
      <c r="I169" s="136"/>
      <c r="J169" s="139"/>
      <c r="K169" s="136"/>
    </row>
    <row r="170" spans="2:11" ht="16.5">
      <c r="B170" s="12"/>
      <c r="C170" s="12"/>
      <c r="D170" s="12"/>
      <c r="E170" s="58"/>
      <c r="F170" s="10"/>
      <c r="G170" s="10"/>
      <c r="H170" s="136"/>
      <c r="I170" s="136"/>
      <c r="J170" s="139"/>
      <c r="K170" s="139"/>
    </row>
    <row r="171" spans="2:11" ht="16.5">
      <c r="B171" s="12"/>
      <c r="C171" s="12"/>
      <c r="D171" s="12"/>
      <c r="E171" s="58"/>
      <c r="F171" s="10"/>
      <c r="G171" s="10"/>
      <c r="H171" s="136"/>
      <c r="I171" s="136"/>
      <c r="J171" s="139"/>
      <c r="K171" s="136"/>
    </row>
    <row r="172" spans="2:11" ht="16.5">
      <c r="B172" s="12"/>
      <c r="C172" s="12"/>
      <c r="D172" s="12"/>
      <c r="E172" s="58"/>
      <c r="F172" s="10"/>
      <c r="G172" s="10"/>
      <c r="H172" s="136"/>
      <c r="I172" s="136"/>
      <c r="J172" s="139"/>
      <c r="K172" s="136"/>
    </row>
    <row r="173" spans="2:11" ht="37.5" customHeight="1">
      <c r="B173" s="12"/>
      <c r="C173" s="12"/>
      <c r="D173" s="12"/>
      <c r="E173" s="58"/>
      <c r="F173" s="10"/>
      <c r="G173" s="10"/>
      <c r="H173" s="136"/>
      <c r="I173" s="136"/>
      <c r="J173" s="139"/>
      <c r="K173" s="139"/>
    </row>
    <row r="174" spans="2:11" ht="31.5" customHeight="1">
      <c r="B174" s="12"/>
      <c r="C174" s="12"/>
      <c r="D174" s="12"/>
      <c r="E174" s="58"/>
      <c r="F174" s="10"/>
      <c r="G174" s="10"/>
      <c r="H174" s="138"/>
      <c r="I174" s="136"/>
      <c r="J174" s="136"/>
      <c r="K174" s="136"/>
    </row>
    <row r="175" spans="2:11" ht="18" customHeight="1">
      <c r="B175" s="12"/>
      <c r="C175" s="12"/>
      <c r="D175" s="12"/>
      <c r="E175" s="58"/>
      <c r="F175" s="14"/>
      <c r="G175" s="14"/>
      <c r="H175" s="135"/>
      <c r="I175" s="136"/>
      <c r="J175" s="136"/>
      <c r="K175" s="136"/>
    </row>
    <row r="176" spans="2:11" ht="18" customHeight="1">
      <c r="B176" s="12"/>
      <c r="C176" s="12"/>
      <c r="D176" s="12"/>
      <c r="E176" s="58"/>
      <c r="F176" s="14"/>
      <c r="G176" s="14"/>
      <c r="H176" s="136"/>
      <c r="I176" s="136"/>
      <c r="J176" s="139"/>
      <c r="K176" s="136"/>
    </row>
    <row r="177" spans="2:11" ht="18" customHeight="1">
      <c r="B177" s="2"/>
      <c r="C177" s="2"/>
      <c r="D177" s="2"/>
      <c r="E177" s="9"/>
      <c r="F177" s="10"/>
      <c r="G177" s="10"/>
      <c r="H177" s="136"/>
      <c r="I177" s="136"/>
      <c r="J177" s="139"/>
      <c r="K177" s="136"/>
    </row>
    <row r="178" spans="2:11" ht="18" customHeight="1">
      <c r="B178" s="2"/>
      <c r="C178" s="2"/>
      <c r="D178" s="2"/>
      <c r="E178" s="119"/>
      <c r="F178" s="93"/>
      <c r="G178" s="93"/>
      <c r="H178" s="136"/>
      <c r="I178" s="136"/>
      <c r="J178" s="139"/>
      <c r="K178" s="139"/>
    </row>
    <row r="179" spans="2:11" ht="18" customHeight="1">
      <c r="B179" s="2"/>
      <c r="C179" s="2"/>
      <c r="D179" s="2"/>
      <c r="E179" s="120"/>
      <c r="F179" s="94"/>
      <c r="G179" s="94"/>
      <c r="H179" s="138"/>
      <c r="I179" s="138"/>
      <c r="J179" s="138"/>
      <c r="K179" s="138"/>
    </row>
    <row r="180" spans="2:11" ht="16.5">
      <c r="B180" s="12"/>
      <c r="C180" s="12"/>
      <c r="D180" s="12"/>
      <c r="E180" s="58"/>
      <c r="F180" s="10"/>
      <c r="G180" s="10"/>
      <c r="H180" s="135"/>
      <c r="I180" s="135"/>
      <c r="J180" s="135"/>
      <c r="K180" s="135"/>
    </row>
    <row r="181" spans="2:11" ht="16.5">
      <c r="B181" s="12"/>
      <c r="C181" s="12"/>
      <c r="D181" s="12"/>
      <c r="E181" s="58"/>
      <c r="F181" s="10"/>
      <c r="G181" s="10"/>
      <c r="H181" s="136"/>
      <c r="I181" s="136"/>
      <c r="J181" s="139"/>
      <c r="K181" s="136"/>
    </row>
    <row r="182" spans="2:11" ht="18" customHeight="1">
      <c r="B182" s="12"/>
      <c r="C182" s="12"/>
      <c r="D182" s="8"/>
      <c r="E182" s="13"/>
      <c r="F182" s="10"/>
      <c r="G182" s="10"/>
      <c r="H182" s="136"/>
      <c r="I182" s="136"/>
      <c r="J182" s="139"/>
      <c r="K182" s="136"/>
    </row>
    <row r="183" spans="2:11" ht="16.5">
      <c r="B183" s="12"/>
      <c r="C183" s="12"/>
      <c r="D183" s="8"/>
      <c r="E183" s="121"/>
      <c r="F183" s="93"/>
      <c r="G183" s="93"/>
      <c r="H183" s="138"/>
      <c r="I183" s="138"/>
      <c r="J183" s="138"/>
      <c r="K183" s="138"/>
    </row>
    <row r="184" spans="2:11" ht="18" customHeight="1">
      <c r="B184" s="12"/>
      <c r="C184" s="12"/>
      <c r="D184" s="8"/>
      <c r="E184" s="120"/>
      <c r="F184" s="94"/>
      <c r="G184" s="94"/>
      <c r="H184" s="135"/>
      <c r="I184" s="135"/>
      <c r="J184" s="135"/>
      <c r="K184" s="135"/>
    </row>
    <row r="185" spans="1:11" s="175" customFormat="1" ht="39.75" customHeight="1">
      <c r="A185" s="132"/>
      <c r="B185" s="2"/>
      <c r="C185" s="2"/>
      <c r="D185" s="8"/>
      <c r="E185" s="58"/>
      <c r="F185" s="10"/>
      <c r="G185" s="94"/>
      <c r="H185" s="136"/>
      <c r="I185" s="136"/>
      <c r="J185" s="136"/>
      <c r="K185" s="136"/>
    </row>
    <row r="186" spans="1:11" s="175" customFormat="1" ht="33.75" customHeight="1">
      <c r="A186" s="132"/>
      <c r="B186" s="2"/>
      <c r="C186" s="2"/>
      <c r="D186" s="8"/>
      <c r="E186" s="58"/>
      <c r="F186" s="10"/>
      <c r="G186" s="94"/>
      <c r="H186" s="136"/>
      <c r="I186" s="136"/>
      <c r="J186" s="136"/>
      <c r="K186" s="136"/>
    </row>
    <row r="187" spans="2:11" ht="18" customHeight="1">
      <c r="B187" s="2"/>
      <c r="C187" s="2"/>
      <c r="D187" s="8"/>
      <c r="E187" s="58"/>
      <c r="F187" s="10"/>
      <c r="G187" s="10"/>
      <c r="H187" s="136"/>
      <c r="I187" s="136"/>
      <c r="J187" s="136"/>
      <c r="K187" s="136"/>
    </row>
    <row r="188" spans="2:11" ht="18" customHeight="1">
      <c r="B188" s="2"/>
      <c r="C188" s="2"/>
      <c r="D188" s="8"/>
      <c r="E188" s="58"/>
      <c r="F188" s="10"/>
      <c r="G188" s="10"/>
      <c r="H188" s="136"/>
      <c r="I188" s="136"/>
      <c r="J188" s="136"/>
      <c r="K188" s="136"/>
    </row>
    <row r="189" spans="2:11" ht="18" customHeight="1">
      <c r="B189" s="2"/>
      <c r="C189" s="2"/>
      <c r="D189" s="8"/>
      <c r="E189" s="58"/>
      <c r="F189" s="10"/>
      <c r="G189" s="10"/>
      <c r="H189" s="136"/>
      <c r="I189" s="136"/>
      <c r="J189" s="139"/>
      <c r="K189" s="136"/>
    </row>
    <row r="190" spans="2:11" ht="18" customHeight="1">
      <c r="B190" s="2"/>
      <c r="C190" s="2"/>
      <c r="D190" s="8"/>
      <c r="E190" s="58"/>
      <c r="F190" s="10"/>
      <c r="G190" s="10"/>
      <c r="H190" s="136"/>
      <c r="I190" s="136"/>
      <c r="J190" s="139"/>
      <c r="K190" s="136"/>
    </row>
    <row r="191" spans="2:11" ht="20.25" customHeight="1">
      <c r="B191" s="2"/>
      <c r="C191" s="2"/>
      <c r="D191" s="8"/>
      <c r="E191" s="58"/>
      <c r="F191" s="10"/>
      <c r="G191" s="10"/>
      <c r="H191" s="136"/>
      <c r="I191" s="136"/>
      <c r="J191" s="139"/>
      <c r="K191" s="136"/>
    </row>
    <row r="192" spans="2:11" ht="30" customHeight="1">
      <c r="B192" s="2"/>
      <c r="C192" s="2"/>
      <c r="D192" s="8"/>
      <c r="E192" s="58"/>
      <c r="F192" s="10"/>
      <c r="G192" s="10"/>
      <c r="H192" s="136"/>
      <c r="I192" s="136"/>
      <c r="J192" s="139"/>
      <c r="K192" s="136"/>
    </row>
    <row r="193" spans="2:11" ht="18" customHeight="1">
      <c r="B193" s="2"/>
      <c r="C193" s="2"/>
      <c r="D193" s="8"/>
      <c r="E193" s="9"/>
      <c r="F193" s="10"/>
      <c r="G193" s="10"/>
      <c r="H193" s="136"/>
      <c r="I193" s="141"/>
      <c r="J193" s="141"/>
      <c r="K193" s="141"/>
    </row>
    <row r="194" spans="1:11" s="175" customFormat="1" ht="18" customHeight="1">
      <c r="A194" s="132"/>
      <c r="B194" s="2"/>
      <c r="C194" s="2"/>
      <c r="D194" s="8"/>
      <c r="E194" s="9"/>
      <c r="F194" s="10"/>
      <c r="G194" s="10"/>
      <c r="H194" s="136"/>
      <c r="I194" s="136"/>
      <c r="J194" s="139"/>
      <c r="K194" s="136"/>
    </row>
    <row r="195" spans="1:11" s="175" customFormat="1" ht="18" customHeight="1">
      <c r="A195" s="132"/>
      <c r="B195" s="2"/>
      <c r="C195" s="2"/>
      <c r="D195" s="8"/>
      <c r="E195" s="9"/>
      <c r="F195" s="10"/>
      <c r="G195" s="10"/>
      <c r="H195" s="136"/>
      <c r="I195" s="136"/>
      <c r="J195" s="139"/>
      <c r="K195" s="136"/>
    </row>
    <row r="196" spans="2:11" ht="18" customHeight="1">
      <c r="B196" s="2"/>
      <c r="C196" s="2"/>
      <c r="D196" s="8"/>
      <c r="E196" s="58"/>
      <c r="F196" s="10"/>
      <c r="G196" s="10"/>
      <c r="H196" s="136"/>
      <c r="I196" s="136"/>
      <c r="J196" s="139"/>
      <c r="K196" s="139"/>
    </row>
    <row r="197" spans="2:11" ht="16.5">
      <c r="B197" s="2"/>
      <c r="C197" s="2"/>
      <c r="D197" s="8"/>
      <c r="E197" s="121"/>
      <c r="F197" s="93"/>
      <c r="G197" s="93"/>
      <c r="H197" s="138"/>
      <c r="I197" s="138"/>
      <c r="J197" s="138"/>
      <c r="K197" s="138"/>
    </row>
    <row r="198" spans="2:11" ht="18" customHeight="1">
      <c r="B198" s="2"/>
      <c r="C198" s="2"/>
      <c r="D198" s="8"/>
      <c r="E198" s="120"/>
      <c r="F198" s="94"/>
      <c r="G198" s="94"/>
      <c r="H198" s="135"/>
      <c r="I198" s="135"/>
      <c r="J198" s="135"/>
      <c r="K198" s="135"/>
    </row>
    <row r="199" spans="2:11" ht="16.5">
      <c r="B199" s="2"/>
      <c r="C199" s="2"/>
      <c r="D199" s="8"/>
      <c r="E199" s="9"/>
      <c r="F199" s="10"/>
      <c r="G199" s="10"/>
      <c r="H199" s="136"/>
      <c r="I199" s="136"/>
      <c r="J199" s="139"/>
      <c r="K199" s="136"/>
    </row>
    <row r="200" spans="2:11" ht="16.5">
      <c r="B200" s="2"/>
      <c r="C200" s="2"/>
      <c r="D200" s="8"/>
      <c r="E200" s="9"/>
      <c r="F200" s="10"/>
      <c r="G200" s="10"/>
      <c r="H200" s="136"/>
      <c r="I200" s="136"/>
      <c r="J200" s="139"/>
      <c r="K200" s="136"/>
    </row>
    <row r="201" spans="2:11" ht="18" customHeight="1">
      <c r="B201" s="2"/>
      <c r="C201" s="2"/>
      <c r="D201" s="8"/>
      <c r="E201" s="58"/>
      <c r="F201" s="10"/>
      <c r="G201" s="10"/>
      <c r="H201" s="136"/>
      <c r="I201" s="136"/>
      <c r="J201" s="139"/>
      <c r="K201" s="139"/>
    </row>
    <row r="202" spans="2:11" ht="36" customHeight="1">
      <c r="B202" s="2"/>
      <c r="C202" s="2"/>
      <c r="D202" s="2"/>
      <c r="E202" s="122"/>
      <c r="F202" s="93"/>
      <c r="G202" s="93"/>
      <c r="H202" s="136"/>
      <c r="I202" s="138"/>
      <c r="J202" s="154"/>
      <c r="K202" s="154"/>
    </row>
    <row r="203" spans="2:11" ht="18" customHeight="1">
      <c r="B203" s="2"/>
      <c r="C203" s="2"/>
      <c r="D203" s="2"/>
      <c r="E203" s="120"/>
      <c r="F203" s="94"/>
      <c r="G203" s="94"/>
      <c r="H203" s="136"/>
      <c r="I203" s="135"/>
      <c r="J203" s="139"/>
      <c r="K203" s="135"/>
    </row>
    <row r="204" spans="2:11" ht="16.5">
      <c r="B204" s="2"/>
      <c r="C204" s="2"/>
      <c r="D204" s="8"/>
      <c r="E204" s="9"/>
      <c r="F204" s="10"/>
      <c r="G204" s="10"/>
      <c r="H204" s="136"/>
      <c r="I204" s="136"/>
      <c r="J204" s="139"/>
      <c r="K204" s="139"/>
    </row>
    <row r="205" spans="2:11" ht="16.5">
      <c r="B205" s="2"/>
      <c r="C205" s="2"/>
      <c r="D205" s="8"/>
      <c r="E205" s="9"/>
      <c r="F205" s="10"/>
      <c r="G205" s="10"/>
      <c r="H205" s="136"/>
      <c r="I205" s="136"/>
      <c r="J205" s="136"/>
      <c r="K205" s="136"/>
    </row>
    <row r="206" spans="2:11" ht="16.5">
      <c r="B206" s="2"/>
      <c r="C206" s="2"/>
      <c r="D206" s="8"/>
      <c r="E206" s="9"/>
      <c r="F206" s="10"/>
      <c r="G206" s="10"/>
      <c r="H206" s="136"/>
      <c r="I206" s="136"/>
      <c r="J206" s="136"/>
      <c r="K206" s="136"/>
    </row>
    <row r="207" spans="2:11" s="188" customFormat="1" ht="16.5">
      <c r="B207" s="2"/>
      <c r="C207" s="2"/>
      <c r="D207" s="12"/>
      <c r="E207" s="9"/>
      <c r="F207" s="10"/>
      <c r="G207" s="10"/>
      <c r="H207" s="136"/>
      <c r="I207" s="136"/>
      <c r="J207" s="136"/>
      <c r="K207" s="136"/>
    </row>
    <row r="208" spans="2:11" ht="16.5">
      <c r="B208" s="2"/>
      <c r="C208" s="2"/>
      <c r="D208" s="8"/>
      <c r="E208" s="9"/>
      <c r="F208" s="10"/>
      <c r="G208" s="10"/>
      <c r="H208" s="136"/>
      <c r="I208" s="136"/>
      <c r="J208" s="136"/>
      <c r="K208" s="136"/>
    </row>
    <row r="209" spans="2:11" ht="16.5">
      <c r="B209" s="2"/>
      <c r="C209" s="2"/>
      <c r="D209" s="8"/>
      <c r="E209" s="9"/>
      <c r="F209" s="10"/>
      <c r="G209" s="10"/>
      <c r="H209" s="136"/>
      <c r="I209" s="136"/>
      <c r="J209" s="136"/>
      <c r="K209" s="136"/>
    </row>
    <row r="210" spans="2:11" ht="16.5">
      <c r="B210" s="2"/>
      <c r="C210" s="2"/>
      <c r="D210" s="8"/>
      <c r="E210" s="9"/>
      <c r="F210" s="10"/>
      <c r="G210" s="10"/>
      <c r="H210" s="136"/>
      <c r="I210" s="141"/>
      <c r="J210" s="141"/>
      <c r="K210" s="141"/>
    </row>
    <row r="211" spans="2:11" ht="16.5">
      <c r="B211" s="2"/>
      <c r="C211" s="2"/>
      <c r="D211" s="8"/>
      <c r="E211" s="9"/>
      <c r="F211" s="10"/>
      <c r="G211" s="10"/>
      <c r="H211" s="136"/>
      <c r="I211" s="136"/>
      <c r="J211" s="139"/>
      <c r="K211" s="139"/>
    </row>
    <row r="212" spans="2:11" ht="16.5">
      <c r="B212" s="2"/>
      <c r="C212" s="2"/>
      <c r="D212" s="8"/>
      <c r="E212" s="9"/>
      <c r="F212" s="10"/>
      <c r="G212" s="10"/>
      <c r="H212" s="136"/>
      <c r="I212" s="136"/>
      <c r="J212" s="136"/>
      <c r="K212" s="136"/>
    </row>
    <row r="213" spans="2:11" ht="16.5">
      <c r="B213" s="2"/>
      <c r="C213" s="2"/>
      <c r="D213" s="8"/>
      <c r="E213" s="9"/>
      <c r="F213" s="10"/>
      <c r="G213" s="10"/>
      <c r="H213" s="136"/>
      <c r="I213" s="136"/>
      <c r="J213" s="139"/>
      <c r="K213" s="139"/>
    </row>
    <row r="214" spans="2:11" ht="18" customHeight="1">
      <c r="B214" s="2"/>
      <c r="C214" s="2"/>
      <c r="D214" s="8"/>
      <c r="E214" s="9"/>
      <c r="F214" s="10"/>
      <c r="G214" s="10"/>
      <c r="H214" s="146"/>
      <c r="I214" s="136"/>
      <c r="J214" s="139"/>
      <c r="K214" s="139"/>
    </row>
    <row r="215" spans="2:11" ht="18" customHeight="1">
      <c r="B215" s="2"/>
      <c r="C215" s="2"/>
      <c r="D215" s="8"/>
      <c r="E215" s="9"/>
      <c r="F215" s="10"/>
      <c r="G215" s="10"/>
      <c r="H215" s="138"/>
      <c r="I215" s="136"/>
      <c r="J215" s="136"/>
      <c r="K215" s="136"/>
    </row>
    <row r="216" spans="2:11" ht="45" customHeight="1">
      <c r="B216" s="2"/>
      <c r="C216" s="2"/>
      <c r="D216" s="8"/>
      <c r="E216" s="9"/>
      <c r="F216" s="10"/>
      <c r="G216" s="10"/>
      <c r="H216" s="135"/>
      <c r="I216" s="135"/>
      <c r="J216" s="135"/>
      <c r="K216" s="135"/>
    </row>
    <row r="217" spans="2:11" ht="49.5" customHeight="1">
      <c r="B217" s="2"/>
      <c r="C217" s="2"/>
      <c r="D217" s="8"/>
      <c r="E217" s="9"/>
      <c r="F217" s="10"/>
      <c r="G217" s="10"/>
      <c r="H217" s="136"/>
      <c r="I217" s="139"/>
      <c r="J217" s="136"/>
      <c r="K217" s="139"/>
    </row>
    <row r="218" spans="2:11" ht="16.5">
      <c r="B218" s="2"/>
      <c r="C218" s="2"/>
      <c r="D218" s="8"/>
      <c r="E218" s="9"/>
      <c r="F218" s="10"/>
      <c r="G218" s="10"/>
      <c r="H218" s="136"/>
      <c r="I218" s="136"/>
      <c r="J218" s="139"/>
      <c r="K218" s="139"/>
    </row>
    <row r="219" spans="2:11" ht="16.5">
      <c r="B219" s="2"/>
      <c r="C219" s="2"/>
      <c r="D219" s="8"/>
      <c r="E219" s="9"/>
      <c r="F219" s="10"/>
      <c r="G219" s="10"/>
      <c r="H219" s="136"/>
      <c r="I219" s="136"/>
      <c r="J219" s="139"/>
      <c r="K219" s="139"/>
    </row>
    <row r="220" spans="2:11" ht="16.5">
      <c r="B220" s="2"/>
      <c r="C220" s="2"/>
      <c r="D220" s="8"/>
      <c r="E220" s="9"/>
      <c r="F220" s="10"/>
      <c r="G220" s="10"/>
      <c r="H220" s="155"/>
      <c r="I220" s="156"/>
      <c r="J220" s="155"/>
      <c r="K220" s="156"/>
    </row>
    <row r="221" spans="2:11" ht="18" customHeight="1">
      <c r="B221" s="2"/>
      <c r="C221" s="2"/>
      <c r="D221" s="8"/>
      <c r="E221" s="9"/>
      <c r="F221" s="10"/>
      <c r="G221" s="10"/>
      <c r="H221" s="155"/>
      <c r="I221" s="155"/>
      <c r="J221" s="156"/>
      <c r="K221" s="155"/>
    </row>
    <row r="222" spans="2:11" ht="16.5">
      <c r="B222" s="2"/>
      <c r="C222" s="2"/>
      <c r="D222" s="8"/>
      <c r="E222" s="9"/>
      <c r="F222" s="10"/>
      <c r="G222" s="10"/>
      <c r="H222" s="155"/>
      <c r="I222" s="155"/>
      <c r="J222" s="156"/>
      <c r="K222" s="155"/>
    </row>
    <row r="223" spans="2:11" ht="16.5">
      <c r="B223" s="2"/>
      <c r="C223" s="2"/>
      <c r="D223" s="8"/>
      <c r="E223" s="9"/>
      <c r="F223" s="10"/>
      <c r="G223" s="10"/>
      <c r="H223" s="157"/>
      <c r="I223" s="155"/>
      <c r="J223" s="156"/>
      <c r="K223" s="156"/>
    </row>
    <row r="224" spans="2:11" ht="16.5">
      <c r="B224" s="2"/>
      <c r="C224" s="2"/>
      <c r="D224" s="8"/>
      <c r="E224" s="9"/>
      <c r="F224" s="10"/>
      <c r="G224" s="10"/>
      <c r="H224" s="152"/>
      <c r="I224" s="155"/>
      <c r="J224" s="155"/>
      <c r="K224" s="155"/>
    </row>
    <row r="225" spans="2:11" ht="16.5">
      <c r="B225" s="2"/>
      <c r="C225" s="2"/>
      <c r="D225" s="8"/>
      <c r="E225" s="9"/>
      <c r="F225" s="10"/>
      <c r="G225" s="10"/>
      <c r="H225" s="155"/>
      <c r="I225" s="155"/>
      <c r="J225" s="155"/>
      <c r="K225" s="155"/>
    </row>
    <row r="226" spans="2:11" ht="16.5">
      <c r="B226" s="2"/>
      <c r="C226" s="2"/>
      <c r="D226" s="8"/>
      <c r="E226" s="9"/>
      <c r="F226" s="10"/>
      <c r="G226" s="10"/>
      <c r="H226" s="158"/>
      <c r="I226" s="155"/>
      <c r="J226" s="158"/>
      <c r="K226" s="158"/>
    </row>
    <row r="227" spans="2:11" ht="16.5">
      <c r="B227" s="2"/>
      <c r="C227" s="2"/>
      <c r="D227" s="8"/>
      <c r="E227" s="9"/>
      <c r="F227" s="10"/>
      <c r="G227" s="10"/>
      <c r="H227" s="158"/>
      <c r="I227" s="155"/>
      <c r="J227" s="158"/>
      <c r="K227" s="158"/>
    </row>
    <row r="228" spans="2:11" ht="16.5">
      <c r="B228" s="2"/>
      <c r="C228" s="2"/>
      <c r="D228" s="8"/>
      <c r="E228" s="9"/>
      <c r="F228" s="10"/>
      <c r="G228" s="10"/>
      <c r="H228" s="159"/>
      <c r="I228" s="155"/>
      <c r="J228" s="159"/>
      <c r="K228" s="159"/>
    </row>
    <row r="229" spans="2:11" ht="38.25" customHeight="1">
      <c r="B229" s="2"/>
      <c r="C229" s="2"/>
      <c r="D229" s="8"/>
      <c r="E229" s="9"/>
      <c r="F229" s="10"/>
      <c r="G229" s="10"/>
      <c r="H229" s="159"/>
      <c r="I229" s="155"/>
      <c r="J229" s="159"/>
      <c r="K229" s="158"/>
    </row>
    <row r="230" spans="2:11" ht="16.5">
      <c r="B230" s="2"/>
      <c r="C230" s="2"/>
      <c r="D230" s="8"/>
      <c r="E230" s="9"/>
      <c r="F230" s="10"/>
      <c r="G230" s="10"/>
      <c r="H230" s="159"/>
      <c r="I230" s="155"/>
      <c r="J230" s="159"/>
      <c r="K230" s="155"/>
    </row>
    <row r="231" spans="2:11" ht="16.5">
      <c r="B231" s="2"/>
      <c r="C231" s="2"/>
      <c r="D231" s="8"/>
      <c r="E231" s="9"/>
      <c r="F231" s="10"/>
      <c r="G231" s="10"/>
      <c r="H231" s="159"/>
      <c r="I231" s="155"/>
      <c r="J231" s="155"/>
      <c r="K231" s="155"/>
    </row>
    <row r="232" spans="2:11" ht="16.5">
      <c r="B232" s="2"/>
      <c r="C232" s="2"/>
      <c r="D232" s="8"/>
      <c r="E232" s="9"/>
      <c r="F232" s="10"/>
      <c r="G232" s="10"/>
      <c r="H232" s="152"/>
      <c r="I232" s="155"/>
      <c r="J232" s="155"/>
      <c r="K232" s="155"/>
    </row>
    <row r="233" spans="2:11" ht="16.5">
      <c r="B233" s="2"/>
      <c r="C233" s="2"/>
      <c r="D233" s="8"/>
      <c r="E233" s="9"/>
      <c r="F233" s="10"/>
      <c r="G233" s="10"/>
      <c r="H233" s="152"/>
      <c r="I233" s="155"/>
      <c r="J233" s="155"/>
      <c r="K233" s="155"/>
    </row>
    <row r="234" spans="2:11" ht="16.5">
      <c r="B234" s="2"/>
      <c r="C234" s="2"/>
      <c r="D234" s="8"/>
      <c r="E234" s="9"/>
      <c r="F234" s="10"/>
      <c r="G234" s="10"/>
      <c r="H234" s="152"/>
      <c r="I234" s="155"/>
      <c r="J234" s="155"/>
      <c r="K234" s="155"/>
    </row>
    <row r="235" spans="2:11" ht="16.5">
      <c r="B235" s="2"/>
      <c r="C235" s="2"/>
      <c r="D235" s="8"/>
      <c r="E235" s="9"/>
      <c r="F235" s="10"/>
      <c r="G235" s="10"/>
      <c r="H235" s="141"/>
      <c r="I235" s="155"/>
      <c r="J235" s="155"/>
      <c r="K235" s="155"/>
    </row>
    <row r="236" spans="2:11" ht="18" customHeight="1">
      <c r="B236" s="2"/>
      <c r="C236" s="2"/>
      <c r="D236" s="8"/>
      <c r="E236" s="9"/>
      <c r="F236" s="10"/>
      <c r="G236" s="10"/>
      <c r="H236" s="141"/>
      <c r="I236" s="141"/>
      <c r="J236" s="141"/>
      <c r="K236" s="141"/>
    </row>
    <row r="237" spans="2:11" ht="40.5" customHeight="1">
      <c r="B237" s="2"/>
      <c r="C237" s="2"/>
      <c r="D237" s="8"/>
      <c r="E237" s="9"/>
      <c r="F237" s="10"/>
      <c r="G237" s="10"/>
      <c r="H237" s="141"/>
      <c r="I237" s="141"/>
      <c r="J237" s="141"/>
      <c r="K237" s="141"/>
    </row>
    <row r="238" spans="2:11" ht="34.5" customHeight="1">
      <c r="B238" s="2"/>
      <c r="C238" s="2"/>
      <c r="D238" s="8"/>
      <c r="E238" s="9"/>
      <c r="F238" s="10"/>
      <c r="G238" s="10"/>
      <c r="H238" s="141"/>
      <c r="I238" s="141"/>
      <c r="J238" s="141"/>
      <c r="K238" s="141"/>
    </row>
    <row r="239" spans="2:11" ht="18" customHeight="1">
      <c r="B239" s="2"/>
      <c r="C239" s="2"/>
      <c r="D239" s="12"/>
      <c r="E239" s="9"/>
      <c r="F239" s="10"/>
      <c r="G239" s="10"/>
      <c r="H239" s="141"/>
      <c r="I239" s="141"/>
      <c r="J239" s="141"/>
      <c r="K239" s="141"/>
    </row>
    <row r="240" spans="1:11" ht="18" customHeight="1" hidden="1">
      <c r="A240" s="175"/>
      <c r="B240" s="36"/>
      <c r="C240" s="36"/>
      <c r="D240" s="40"/>
      <c r="E240" s="78"/>
      <c r="F240" s="93"/>
      <c r="G240" s="93"/>
      <c r="H240" s="141"/>
      <c r="I240" s="141"/>
      <c r="J240" s="141"/>
      <c r="K240" s="141"/>
    </row>
    <row r="241" spans="1:11" ht="18" customHeight="1" hidden="1">
      <c r="A241" s="175"/>
      <c r="B241" s="36"/>
      <c r="C241" s="36"/>
      <c r="D241" s="40"/>
      <c r="E241" s="79"/>
      <c r="F241" s="94"/>
      <c r="G241" s="94"/>
      <c r="H241" s="141"/>
      <c r="I241" s="141"/>
      <c r="J241" s="141"/>
      <c r="K241" s="141"/>
    </row>
    <row r="242" spans="2:11" ht="16.5" hidden="1">
      <c r="B242" s="2"/>
      <c r="C242" s="2"/>
      <c r="D242" s="8"/>
      <c r="E242" s="9"/>
      <c r="F242" s="10"/>
      <c r="G242" s="10"/>
      <c r="H242" s="141"/>
      <c r="I242" s="141"/>
      <c r="J242" s="141"/>
      <c r="K242" s="141"/>
    </row>
    <row r="243" spans="2:11" ht="16.5" hidden="1">
      <c r="B243" s="2"/>
      <c r="C243" s="2"/>
      <c r="D243" s="8"/>
      <c r="E243" s="9"/>
      <c r="F243" s="10"/>
      <c r="G243" s="10"/>
      <c r="H243" s="141"/>
      <c r="I243" s="141"/>
      <c r="J243" s="141"/>
      <c r="K243" s="141"/>
    </row>
    <row r="244" spans="2:11" ht="16.5" hidden="1">
      <c r="B244" s="2"/>
      <c r="C244" s="2"/>
      <c r="D244" s="8"/>
      <c r="E244" s="9"/>
      <c r="F244" s="10"/>
      <c r="G244" s="10"/>
      <c r="H244" s="141"/>
      <c r="I244" s="141"/>
      <c r="J244" s="141"/>
      <c r="K244" s="141"/>
    </row>
    <row r="245" spans="1:11" ht="16.5" hidden="1">
      <c r="A245" s="175"/>
      <c r="B245" s="36"/>
      <c r="C245" s="36"/>
      <c r="D245" s="45"/>
      <c r="E245" s="20"/>
      <c r="F245" s="10"/>
      <c r="G245" s="10"/>
      <c r="H245" s="141"/>
      <c r="I245" s="141"/>
      <c r="J245" s="141"/>
      <c r="K245" s="141"/>
    </row>
    <row r="246" spans="1:11" ht="16.5" hidden="1">
      <c r="A246" s="175"/>
      <c r="B246" s="36"/>
      <c r="C246" s="36"/>
      <c r="D246" s="45"/>
      <c r="E246" s="20"/>
      <c r="F246" s="10"/>
      <c r="G246" s="10"/>
      <c r="H246" s="141"/>
      <c r="I246" s="141"/>
      <c r="J246" s="141"/>
      <c r="K246" s="141"/>
    </row>
    <row r="247" spans="1:11" ht="16.5" hidden="1">
      <c r="A247" s="175"/>
      <c r="B247" s="36"/>
      <c r="C247" s="36"/>
      <c r="D247" s="45"/>
      <c r="E247" s="20"/>
      <c r="F247" s="10"/>
      <c r="G247" s="10"/>
      <c r="H247" s="141"/>
      <c r="I247" s="141"/>
      <c r="J247" s="141"/>
      <c r="K247" s="141"/>
    </row>
    <row r="248" spans="1:11" ht="18" customHeight="1">
      <c r="A248" s="175"/>
      <c r="B248" s="36"/>
      <c r="C248" s="36"/>
      <c r="D248" s="40"/>
      <c r="E248" s="20"/>
      <c r="F248" s="10"/>
      <c r="G248" s="10"/>
      <c r="H248" s="141"/>
      <c r="I248" s="141"/>
      <c r="J248" s="141"/>
      <c r="K248" s="141"/>
    </row>
    <row r="249" spans="1:11" ht="18" customHeight="1">
      <c r="A249" s="175"/>
      <c r="B249" s="72"/>
      <c r="C249" s="72"/>
      <c r="D249" s="72"/>
      <c r="E249" s="73"/>
      <c r="F249" s="93"/>
      <c r="G249" s="93"/>
      <c r="H249" s="138"/>
      <c r="I249" s="138"/>
      <c r="J249" s="138"/>
      <c r="K249" s="138"/>
    </row>
    <row r="250" spans="1:11" ht="18" customHeight="1">
      <c r="A250" s="175"/>
      <c r="B250" s="189"/>
      <c r="C250" s="189"/>
      <c r="D250" s="189"/>
      <c r="E250" s="190"/>
      <c r="F250" s="10"/>
      <c r="G250" s="10"/>
      <c r="H250" s="141"/>
      <c r="I250" s="141"/>
      <c r="J250" s="141"/>
      <c r="K250" s="141"/>
    </row>
    <row r="251" spans="1:11" ht="18" customHeight="1">
      <c r="A251" s="175"/>
      <c r="B251" s="189"/>
      <c r="C251" s="189"/>
      <c r="D251" s="189"/>
      <c r="E251" s="28"/>
      <c r="F251" s="96"/>
      <c r="G251" s="96"/>
      <c r="H251" s="141"/>
      <c r="I251" s="145"/>
      <c r="J251" s="141"/>
      <c r="K251" s="145"/>
    </row>
    <row r="252" spans="1:11" ht="18" customHeight="1">
      <c r="A252" s="175"/>
      <c r="B252" s="189"/>
      <c r="C252" s="189"/>
      <c r="D252" s="189"/>
      <c r="E252" s="28"/>
      <c r="F252" s="96"/>
      <c r="G252" s="96"/>
      <c r="H252" s="141"/>
      <c r="I252" s="145"/>
      <c r="J252" s="141"/>
      <c r="K252" s="145"/>
    </row>
    <row r="253" spans="1:11" ht="18" customHeight="1">
      <c r="A253" s="175"/>
      <c r="B253" s="189"/>
      <c r="C253" s="189"/>
      <c r="D253" s="189"/>
      <c r="E253" s="191"/>
      <c r="F253" s="192"/>
      <c r="G253" s="192"/>
      <c r="H253" s="141"/>
      <c r="I253" s="141"/>
      <c r="J253" s="141"/>
      <c r="K253" s="141"/>
    </row>
    <row r="254" spans="1:11" ht="18" customHeight="1">
      <c r="A254" s="313"/>
      <c r="B254" s="313"/>
      <c r="C254" s="313"/>
      <c r="D254" s="313"/>
      <c r="E254" s="28"/>
      <c r="F254" s="98"/>
      <c r="G254" s="96"/>
      <c r="H254" s="141"/>
      <c r="I254" s="145"/>
      <c r="J254" s="141"/>
      <c r="K254" s="145"/>
    </row>
    <row r="255" spans="1:11" ht="18" customHeight="1">
      <c r="A255" s="313"/>
      <c r="B255" s="313"/>
      <c r="C255" s="313"/>
      <c r="D255" s="313"/>
      <c r="E255" s="28"/>
      <c r="F255" s="98"/>
      <c r="G255" s="96"/>
      <c r="H255" s="141"/>
      <c r="I255" s="145"/>
      <c r="J255" s="141"/>
      <c r="K255" s="145"/>
    </row>
    <row r="256" spans="1:11" ht="18" customHeight="1">
      <c r="A256" s="313"/>
      <c r="B256" s="313"/>
      <c r="C256" s="313"/>
      <c r="D256" s="313"/>
      <c r="E256" s="28"/>
      <c r="F256" s="98"/>
      <c r="G256" s="93"/>
      <c r="H256" s="141"/>
      <c r="I256" s="138"/>
      <c r="J256" s="141"/>
      <c r="K256" s="138"/>
    </row>
    <row r="257" spans="1:11" ht="18" customHeight="1">
      <c r="A257" s="313"/>
      <c r="B257" s="313"/>
      <c r="C257" s="313"/>
      <c r="D257" s="313"/>
      <c r="E257" s="28"/>
      <c r="F257" s="93"/>
      <c r="G257" s="96"/>
      <c r="H257" s="141"/>
      <c r="I257" s="145"/>
      <c r="J257" s="141"/>
      <c r="K257" s="145"/>
    </row>
    <row r="258" spans="1:11" ht="18" customHeight="1">
      <c r="A258" s="313"/>
      <c r="B258" s="313"/>
      <c r="C258" s="313"/>
      <c r="D258" s="313"/>
      <c r="E258" s="28"/>
      <c r="F258" s="93"/>
      <c r="G258" s="96"/>
      <c r="H258" s="141"/>
      <c r="I258" s="145"/>
      <c r="J258" s="141"/>
      <c r="K258" s="145"/>
    </row>
    <row r="259" spans="1:11" ht="18" customHeight="1">
      <c r="A259" s="313"/>
      <c r="B259" s="313"/>
      <c r="C259" s="313"/>
      <c r="D259" s="313"/>
      <c r="E259" s="28"/>
      <c r="F259" s="93"/>
      <c r="G259" s="93"/>
      <c r="H259" s="138"/>
      <c r="I259" s="138"/>
      <c r="J259" s="138"/>
      <c r="K259" s="138"/>
    </row>
  </sheetData>
  <sheetProtection/>
  <mergeCells count="13">
    <mergeCell ref="D1:K1"/>
    <mergeCell ref="D2:K2"/>
    <mergeCell ref="D3:K3"/>
    <mergeCell ref="D4:K4"/>
    <mergeCell ref="D5:K5"/>
    <mergeCell ref="A8:K8"/>
    <mergeCell ref="B11:K11"/>
    <mergeCell ref="A254:D256"/>
    <mergeCell ref="A257:D259"/>
    <mergeCell ref="H13:I13"/>
    <mergeCell ref="J13:K13"/>
    <mergeCell ref="A13:D13"/>
    <mergeCell ref="F13:G13"/>
  </mergeCells>
  <printOptions/>
  <pageMargins left="0.31496062992125984" right="0" top="0.35433070866141736" bottom="0.35433070866141736" header="0.11811023622047245" footer="0.11811023622047245"/>
  <pageSetup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2020-03-24T03:22:47Z</cp:lastPrinted>
  <dcterms:created xsi:type="dcterms:W3CDTF">1996-10-08T23:32:33Z</dcterms:created>
  <dcterms:modified xsi:type="dcterms:W3CDTF">2020-04-13T20:17:35Z</dcterms:modified>
  <cp:category/>
  <cp:version/>
  <cp:contentType/>
  <cp:contentStatus/>
</cp:coreProperties>
</file>