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4" activeTab="0"/>
  </bookViews>
  <sheets>
    <sheet name="Приложение 3" sheetId="1" r:id="rId1"/>
    <sheet name="Приложение  4" sheetId="2" r:id="rId2"/>
    <sheet name="Приложение 1-1" sheetId="3" state="hidden" r:id="rId3"/>
    <sheet name="Приложение 5" sheetId="4" r:id="rId4"/>
    <sheet name="приложение 9-1" sheetId="5" state="hidden" r:id="rId5"/>
    <sheet name="приложение 9-2" sheetId="6" state="hidden" r:id="rId6"/>
    <sheet name="Лист1" sheetId="7" state="hidden" r:id="rId7"/>
    <sheet name="Лист2" sheetId="8" r:id="rId8"/>
  </sheets>
  <externalReferences>
    <externalReference r:id="rId11"/>
  </externalReferences>
  <definedNames>
    <definedName name="_Toc292517054" localSheetId="1">'Приложение  4'!$A$2</definedName>
    <definedName name="_Toc292517054" localSheetId="3">'Приложение 5'!#REF!</definedName>
    <definedName name="Z_AB045A35_445A_4813_835B_F7486C276A83_.wvu.PrintArea" localSheetId="1" hidden="1">'Приложение  4'!$A$1:$L$43</definedName>
    <definedName name="_xlnm.Print_Area" localSheetId="1">'Приложение  4'!$A$1:$L$43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АУП И ЦБ РАЙОО И ГОРОО И ЦБ МОН КР И ЦМ МОН КР</t>
        </r>
      </text>
    </comment>
    <comment ref="G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СПЕЦ СРЕДСТВА ЗП</t>
        </r>
      </text>
    </comment>
    <comment ref="G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спец
 70812, 70821, 70832, 70921 ,70951,70952,70961,70962,70964,70965  
</t>
        </r>
      </text>
    </comment>
    <comment ref="G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ПГИ ВНЕШНЕЕ ФИНАНСИРОВАНИЕ</t>
        </r>
      </text>
    </comment>
    <comment ref="G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ВГИ внутренне ФИНАСИРОВАНИЕ</t>
        </r>
      </text>
    </comment>
    <comment ref="G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70922,70931</t>
        </r>
      </text>
    </comment>
    <comment ref="G61" authorId="0">
      <text>
        <r>
          <rPr>
            <b/>
            <sz val="11"/>
            <rFont val="Tahoma"/>
            <family val="2"/>
          </rPr>
          <t>Admin:</t>
        </r>
        <r>
          <rPr>
            <sz val="11"/>
            <rFont val="Tahoma"/>
            <family val="2"/>
          </rPr>
          <t xml:space="preserve">
спец 70942</t>
        </r>
        <r>
          <rPr>
            <sz val="8"/>
            <rFont val="Tahoma"/>
            <family val="2"/>
          </rPr>
          <t xml:space="preserve">
</t>
        </r>
      </text>
    </comment>
    <comment ref="G68" authorId="0">
      <text>
        <r>
          <rPr>
            <b/>
            <sz val="12"/>
            <rFont val="Tahoma"/>
            <family val="2"/>
          </rPr>
          <t>Admin:</t>
        </r>
        <r>
          <rPr>
            <sz val="12"/>
            <rFont val="Tahoma"/>
            <family val="2"/>
          </rPr>
          <t xml:space="preserve">
БЮДЖЕТ 70941, 70952</t>
        </r>
      </text>
    </comment>
    <comment ref="G76" authorId="0">
      <text>
        <r>
          <rPr>
            <b/>
            <sz val="12"/>
            <rFont val="Tahoma"/>
            <family val="2"/>
          </rPr>
          <t>Admin:</t>
        </r>
        <r>
          <rPr>
            <sz val="12"/>
            <rFont val="Tahoma"/>
            <family val="2"/>
          </rPr>
          <t xml:space="preserve">
БЮДЖЕТ НАУКИ</t>
        </r>
      </text>
    </comment>
    <comment ref="G77" authorId="0">
      <text>
        <r>
          <rPr>
            <b/>
            <sz val="12"/>
            <rFont val="Tahoma"/>
            <family val="2"/>
          </rPr>
          <t>Admin:</t>
        </r>
        <r>
          <rPr>
            <sz val="12"/>
            <rFont val="Tahoma"/>
            <family val="2"/>
          </rPr>
          <t xml:space="preserve">
СПЕЦ НАУКА</t>
        </r>
      </text>
    </comment>
    <comment ref="H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ПГИ ВНЕШНЕЕ ФИНАНСИРОВАНИЕ</t>
        </r>
      </text>
    </comment>
    <comment ref="I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ПГИ ВНЕШНЕЕ ФИНАНСИРОВАНИЕ</t>
        </r>
      </text>
    </comment>
    <comment ref="G22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>бюджет  и спец70911</t>
        </r>
      </text>
    </comment>
    <comment ref="G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спец средства 70921, 70951, 70961, 70962, 70964, 70965, 70812, 70821, 70832</t>
        </r>
      </text>
    </comment>
    <comment ref="G53" authorId="0">
      <text>
        <r>
          <rPr>
            <b/>
            <sz val="11"/>
            <rFont val="Tahoma"/>
            <family val="2"/>
          </rPr>
          <t>Admin:</t>
        </r>
        <r>
          <rPr>
            <sz val="11"/>
            <rFont val="Tahoma"/>
            <family val="2"/>
          </rPr>
          <t xml:space="preserve">
спец.средства 70922, 70931</t>
        </r>
      </text>
    </comment>
    <comment ref="G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спец 70941, 70952</t>
        </r>
      </text>
    </comment>
    <comment ref="G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и спец средства
</t>
        </r>
      </text>
    </comment>
    <comment ref="G6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70942</t>
        </r>
      </text>
    </comment>
  </commentList>
</comments>
</file>

<file path=xl/comments2.xml><?xml version="1.0" encoding="utf-8"?>
<comments xmlns="http://schemas.openxmlformats.org/spreadsheetml/2006/main">
  <authors>
    <author>Comp_100</author>
  </authors>
  <commentList>
    <comment ref="K13" authorId="0">
      <text>
        <r>
          <rPr>
            <b/>
            <sz val="9"/>
            <rFont val="Tahoma"/>
            <family val="2"/>
          </rPr>
          <t>Comp_100:</t>
        </r>
        <r>
          <rPr>
            <sz val="9"/>
            <rFont val="Tahoma"/>
            <family val="2"/>
          </rPr>
          <t xml:space="preserve">
контрольные цифр эля эже в мф мину 3111 100 млн мину3112 100 млн</t>
        </r>
      </text>
    </comment>
    <comment ref="H11" authorId="0">
      <text>
        <r>
          <rPr>
            <b/>
            <sz val="9"/>
            <rFont val="Tahoma"/>
            <family val="2"/>
          </rPr>
          <t>Comp_100:</t>
        </r>
        <r>
          <rPr>
            <sz val="9"/>
            <rFont val="Tahoma"/>
            <family val="2"/>
          </rPr>
          <t xml:space="preserve">
минус спец дошкол и минус школа 222,9 разницы от контрол цифр эля
</t>
        </r>
      </text>
    </comment>
    <comment ref="H12" authorId="0">
      <text>
        <r>
          <rPr>
            <b/>
            <sz val="9"/>
            <rFont val="Tahoma"/>
            <family val="2"/>
          </rPr>
          <t>Comp_100:</t>
        </r>
        <r>
          <rPr>
            <sz val="9"/>
            <rFont val="Tahoma"/>
            <family val="2"/>
          </rPr>
          <t xml:space="preserve">
на 120 млн апто поменял</t>
        </r>
      </text>
    </comment>
  </commentList>
</comments>
</file>

<file path=xl/comments4.xml><?xml version="1.0" encoding="utf-8"?>
<comments xmlns="http://schemas.openxmlformats.org/spreadsheetml/2006/main">
  <authors>
    <author>Comp_100</author>
  </authors>
  <commentList>
    <comment ref="L473" authorId="0">
      <text>
        <r>
          <rPr>
            <b/>
            <sz val="9"/>
            <rFont val="Tahoma"/>
            <family val="2"/>
          </rPr>
          <t>Comp_100:</t>
        </r>
        <r>
          <rPr>
            <sz val="9"/>
            <rFont val="Tahoma"/>
            <family val="2"/>
          </rPr>
          <t xml:space="preserve">
разница контрольных цифр эля эже  мф 
</t>
        </r>
      </text>
    </comment>
    <comment ref="H194" authorId="0">
      <text>
        <r>
          <rPr>
            <b/>
            <sz val="9"/>
            <rFont val="Tahoma"/>
            <family val="2"/>
          </rPr>
          <t>Comp_100:</t>
        </r>
        <r>
          <rPr>
            <sz val="9"/>
            <rFont val="Tahoma"/>
            <family val="2"/>
          </rPr>
          <t xml:space="preserve">
минус 222,9 спец сред  сред школы контрольные цифр от эля</t>
        </r>
      </text>
    </comment>
    <comment ref="H118" authorId="0">
      <text>
        <r>
          <rPr>
            <b/>
            <sz val="9"/>
            <rFont val="Tahoma"/>
            <family val="2"/>
          </rPr>
          <t>Comp_100:</t>
        </r>
        <r>
          <rPr>
            <sz val="9"/>
            <rFont val="Tahoma"/>
            <family val="2"/>
          </rPr>
          <t xml:space="preserve">
после того как поменяли изнальной суммы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G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АУП И ЦБ РАЙОО И ГОРОО И ЦБ МОН КР И ЦМ МОН КР</t>
        </r>
      </text>
    </comment>
    <comment ref="G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пги </t>
        </r>
      </text>
    </comment>
    <comment ref="G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242717,6 МЛН.СОМ БЮДЖЕТ ДЕЙСТВУЮШИХ САДИКОВ И 373,0 МЛН СОМ ДЛЯ НОВЫХ САДИКОВ</t>
        </r>
      </text>
    </comment>
    <comment ref="G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СПЕЦ СРЕДСТВА ЗП</t>
        </r>
      </text>
    </comment>
    <comment ref="G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373,0 с учетом повышения</t>
        </r>
      </text>
    </comment>
    <comment ref="G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дюСШ,СШ,70951,70952,70961,70962,70964,70965 И ДОП НА ЭТОТ ГОД 178500,1 ТЫС.СОМ
</t>
        </r>
      </text>
    </comment>
    <comment ref="G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ПГИ ВНЕШНЕЕ ФИНАНСИРОВАНИЕ</t>
        </r>
      </text>
    </comment>
    <comment ref="H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ПГИ ВНЕШНЕЕ ФИНАНСИРОВАНИЕ</t>
        </r>
      </text>
    </comment>
    <comment ref="I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ПГИ ВНЕШНЕЕ ФИНАНСИРОВАНИЕ</t>
        </r>
      </text>
    </comment>
    <comment ref="G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ВГИ ВНЕШНЕЕ ФИНАСИРОВАНИЕ</t>
        </r>
      </text>
    </comment>
    <comment ref="G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70922,70931</t>
        </r>
      </text>
    </comment>
    <comment ref="G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70942
</t>
        </r>
      </text>
    </comment>
    <comment ref="G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70821,70932,70941</t>
        </r>
      </text>
    </comment>
    <comment ref="G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БЮДЖЕТ НАУКИ</t>
        </r>
      </text>
    </comment>
    <comment ref="G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СПЕЦ НАУКА</t>
        </r>
      </text>
    </comment>
  </commentList>
</comments>
</file>

<file path=xl/sharedStrings.xml><?xml version="1.0" encoding="utf-8"?>
<sst xmlns="http://schemas.openxmlformats.org/spreadsheetml/2006/main" count="2170" uniqueCount="454">
  <si>
    <t xml:space="preserve">поэтапное внедрение обучения на основе куррикулума, начатое с 2011/12 учебного года,  разработать, утвердить предметные куррикулумы для 5-9 классов и учебный план для 5-11 классов, разработать и представить на рассмотрение коллегии предметные куррикулумы на базовом и профильном уровнях для 10-11 классов; издать и доставить в школы УМК для предметных куррикулумов 5 классов; </t>
  </si>
  <si>
    <t>Управление дошкольного, школьного и внешкольного образования,образования</t>
  </si>
  <si>
    <t>Удельный вес школ, перешедших на нормативное бюджетное финансирование</t>
  </si>
  <si>
    <t xml:space="preserve">Управление профессионального образования, </t>
  </si>
  <si>
    <t>023 Школьное и внешкольное образование</t>
  </si>
  <si>
    <t>024 Среднее профессиональное образование</t>
  </si>
  <si>
    <r>
      <t>04</t>
    </r>
    <r>
      <rPr>
        <sz val="9"/>
        <color indexed="8"/>
        <rFont val="Arial"/>
        <family val="2"/>
      </rPr>
      <t xml:space="preserve"> Расширение сети государственных и муниципальных ДОО</t>
    </r>
  </si>
  <si>
    <r>
      <t>01</t>
    </r>
    <r>
      <rPr>
        <sz val="9"/>
        <color indexed="8"/>
        <rFont val="Arial"/>
        <family val="2"/>
      </rPr>
      <t xml:space="preserve"> Поддержание функционирования сети школьных учреждений в соответствии со стандартами</t>
    </r>
  </si>
  <si>
    <r>
      <t>03</t>
    </r>
    <r>
      <rPr>
        <sz val="9"/>
        <color indexed="8"/>
        <rFont val="Arial"/>
        <family val="2"/>
      </rPr>
      <t xml:space="preserve"> Оптимизации управления и финансирования детских учреждений интернатного типа</t>
    </r>
  </si>
  <si>
    <r>
      <t>04</t>
    </r>
    <r>
      <rPr>
        <sz val="9"/>
        <color indexed="8"/>
        <rFont val="Arial"/>
        <family val="2"/>
      </rPr>
      <t xml:space="preserve"> Модернизация содержания образования с учетом компетентностного подхода</t>
    </r>
  </si>
  <si>
    <r>
      <t>05</t>
    </r>
    <r>
      <rPr>
        <sz val="9"/>
        <color indexed="8"/>
        <rFont val="Arial"/>
        <family val="2"/>
      </rPr>
      <t xml:space="preserve"> Обеспечение условий предоставления инклюзивного образования детям с особыми нуждами на базе общеобразовательных и специальных школ</t>
    </r>
  </si>
  <si>
    <r>
      <t xml:space="preserve">разработка куррикулумов для инклюзивных и специализированных школ (предметные куррикулумы для детей с особыми нуждами для 5-7 и 8-9 классов); разработка модулей для курсов ПК учителей, преподающих в школах, реализующих инклюзивные программы </t>
    </r>
    <r>
      <rPr>
        <i/>
        <sz val="9"/>
        <color indexed="8"/>
        <rFont val="Arial"/>
        <family val="2"/>
      </rPr>
      <t>(Примечание: Бюджетного финансирования в рамках МОН не предусмотрено, финансирование за счет кап строительства и местных бюджетов)</t>
    </r>
  </si>
  <si>
    <r>
      <t xml:space="preserve">06 </t>
    </r>
    <r>
      <rPr>
        <sz val="9"/>
        <color indexed="8"/>
        <rFont val="Arial"/>
        <family val="2"/>
      </rPr>
      <t>Перевод общеобразовательных организаций на принципы финансово-административной самостоятельности</t>
    </r>
  </si>
  <si>
    <r>
      <t xml:space="preserve">01 </t>
    </r>
    <r>
      <rPr>
        <sz val="9"/>
        <color indexed="8"/>
        <rFont val="Arial"/>
        <family val="2"/>
      </rPr>
      <t>Изменение структуры подготовки кадров со средним профессиональным образованием на основе анализа страновых приоритетов и экономических стратегий регионов</t>
    </r>
  </si>
  <si>
    <r>
      <t xml:space="preserve">02 </t>
    </r>
    <r>
      <rPr>
        <sz val="9"/>
        <color indexed="8"/>
        <rFont val="Arial"/>
        <family val="2"/>
      </rPr>
      <t>Привлечение работодателей к формированию квалификационной характеристики и процессу оценки квалификации выпускников, повышению качества кадрового потенциала педагогических работников СПУЗов</t>
    </r>
  </si>
  <si>
    <r>
      <t xml:space="preserve">03 </t>
    </r>
    <r>
      <rPr>
        <sz val="9"/>
        <color indexed="8"/>
        <rFont val="Arial"/>
        <family val="2"/>
      </rPr>
      <t>Информирование населения о системе среднего профессионального образования республики, направленное на повышения имиджа среднего профессионального образования</t>
    </r>
  </si>
  <si>
    <r>
      <t>025</t>
    </r>
    <r>
      <rPr>
        <sz val="9"/>
        <color indexed="8"/>
        <rFont val="Arial"/>
        <family val="2"/>
      </rPr>
      <t xml:space="preserve"> Высшее профессиональное образование</t>
    </r>
  </si>
  <si>
    <t xml:space="preserve"> Отношение расходов по ЗП Программы 001 к сумме расходов по ЗП по другим программам</t>
  </si>
  <si>
    <r>
      <t xml:space="preserve">01 </t>
    </r>
    <r>
      <rPr>
        <sz val="9"/>
        <color indexed="8"/>
        <rFont val="Arial"/>
        <family val="2"/>
      </rPr>
      <t>Изменение структуры подготовки кадров с высшим профессиональным образованием на основе анализа страновых приоритетов и экономических стратегий регионов</t>
    </r>
  </si>
  <si>
    <r>
      <t xml:space="preserve">02 </t>
    </r>
    <r>
      <rPr>
        <sz val="9"/>
        <color indexed="8"/>
        <rFont val="Arial"/>
        <family val="2"/>
      </rPr>
      <t>Создание условий для развития системы повышения квалификации преподавателей вузов</t>
    </r>
  </si>
  <si>
    <r>
      <t>026</t>
    </r>
    <r>
      <rPr>
        <sz val="9"/>
        <color indexed="8"/>
        <rFont val="Arial"/>
        <family val="2"/>
      </rPr>
      <t xml:space="preserve"> Образование взрослых</t>
    </r>
  </si>
  <si>
    <r>
      <t xml:space="preserve">01 </t>
    </r>
    <r>
      <rPr>
        <sz val="9"/>
        <color indexed="8"/>
        <rFont val="Arial"/>
        <family val="2"/>
      </rPr>
      <t>Обеспечение охвата основным образованием людей, не имеющих образования или выбывших из системы школьного образования ранее нормативно установленных сроков</t>
    </r>
  </si>
  <si>
    <r>
      <t xml:space="preserve">02 </t>
    </r>
    <r>
      <rPr>
        <sz val="9"/>
        <color indexed="8"/>
        <rFont val="Arial"/>
        <family val="2"/>
      </rPr>
      <t>Содействие адаптации экономически активного населения к быстро меняющимся требованиям рынка труда</t>
    </r>
  </si>
  <si>
    <r>
      <t>027</t>
    </r>
    <r>
      <rPr>
        <sz val="9"/>
        <color indexed="8"/>
        <rFont val="Arial"/>
        <family val="2"/>
      </rPr>
      <t xml:space="preserve"> Государственная поддержка развития приоритетных направлений науки</t>
    </r>
  </si>
  <si>
    <r>
      <t xml:space="preserve">01 </t>
    </r>
    <r>
      <rPr>
        <sz val="9"/>
        <color indexed="8"/>
        <rFont val="Arial"/>
        <family val="2"/>
      </rPr>
      <t>Развитие прикладной науки</t>
    </r>
  </si>
  <si>
    <r>
      <t xml:space="preserve">02 </t>
    </r>
    <r>
      <rPr>
        <sz val="9"/>
        <color indexed="8"/>
        <rFont val="Arial"/>
        <family val="2"/>
      </rPr>
      <t>Развитие институционального потенциала и повышение качества вузовской науки, увеличение в вузах количества НИР, направленных на получение практического применения</t>
    </r>
  </si>
  <si>
    <r>
      <t>001</t>
    </r>
    <r>
      <rPr>
        <sz val="9"/>
        <color indexed="8"/>
        <rFont val="Arial"/>
        <family val="2"/>
      </rPr>
      <t xml:space="preserve"> Планирование, управление и администрирование      </t>
    </r>
  </si>
  <si>
    <t>Центральный аппарат и территориальные подразделения МОН обеспечивают реализацию функций отраслевой политики, регулирования,  координации, надзора и контроля. В рамках данной меры совершенствуется регулятивная и законодательная база сектора, проводится анализ тенденций в секторе и на его основе разрабатываются стратегические направления и приоритеты развития, осуществляются мероприятия  по поддержке и развитию подведомственных организаций.</t>
  </si>
  <si>
    <t>Отношение текущих расходов по Программе 1 к сумме текущих расходов по другим программам</t>
  </si>
  <si>
    <t xml:space="preserve">001 Планирование, управление и администрирование </t>
  </si>
  <si>
    <t>Управление бюджетной политики и финансового анализа, Управление бухгалтерского учета и отчетности, централизованные бухгалтерии</t>
  </si>
  <si>
    <t>Доля взрослого населения, охваченная лицензированными образовательными программами (формальное: вечернее/сменное/заочное, неформальное - повышение квалификации, переподготовка) от числа обратившихся</t>
  </si>
  <si>
    <r>
      <t>Удельный вес школ, перешедших на нормативное бюджетное финансирование (</t>
    </r>
    <r>
      <rPr>
        <b/>
        <sz val="11"/>
        <color indexed="8"/>
        <rFont val="Arial"/>
        <family val="2"/>
      </rPr>
      <t>ППУР</t>
    </r>
    <r>
      <rPr>
        <sz val="11"/>
        <color indexed="8"/>
        <rFont val="Arial"/>
        <family val="2"/>
      </rPr>
      <t>)</t>
    </r>
  </si>
  <si>
    <t>14/19</t>
  </si>
  <si>
    <r>
      <t xml:space="preserve">Среднее профессиональное образование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 xml:space="preserve">Цели Программы: Подготовка кадров в организациях СПО в соответствии с потребностями рынка труда </t>
    </r>
  </si>
  <si>
    <r>
      <t xml:space="preserve">Высшее профессиональное образование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 xml:space="preserve">Цель Программы: Подготовка кадров в ВУЗах в соответствии с потребностями рынка труда </t>
    </r>
  </si>
  <si>
    <r>
      <t xml:space="preserve">Образование для взрослых             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 xml:space="preserve">Цели программы: Удовлетворение потребностей населения в повышении уровня образования путем </t>
    </r>
  </si>
  <si>
    <r>
      <t xml:space="preserve">Государственная поддержка развития  приоритетных отраслей  науки   </t>
    </r>
    <r>
      <rPr>
        <sz val="11"/>
        <color indexed="8"/>
        <rFont val="Arial"/>
        <family val="2"/>
      </rPr>
      <t xml:space="preserve">Цель: Развитие прикладной (вузовской) науки и повышение качества вузовской науки, увеличение в вузах количества НИР, направленных на получение практического применения.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</si>
  <si>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r>
      <t>Развитие институционального потенциала и повышение качества вузовской науки, увеличение в вузах количества НИР, направленных на получение практического применения (</t>
    </r>
    <r>
      <rPr>
        <b/>
        <sz val="11"/>
        <color indexed="8"/>
        <rFont val="Arial"/>
        <family val="2"/>
      </rPr>
      <t>ППУР</t>
    </r>
    <r>
      <rPr>
        <sz val="11"/>
        <color indexed="8"/>
        <rFont val="Arial"/>
        <family val="2"/>
      </rPr>
      <t>)</t>
    </r>
  </si>
  <si>
    <r>
      <t xml:space="preserve">Планирование, управление и администрирование                                                                                                                              
</t>
    </r>
    <r>
      <rPr>
        <sz val="11"/>
        <color indexed="8"/>
        <rFont val="Arial"/>
        <family val="2"/>
      </rPr>
      <t>Цели программы: Координирующее и организационное воздействие на реализацию других программ</t>
    </r>
  </si>
  <si>
    <t>Сектор международного сотрудничества, пресс-секретарь МОН</t>
  </si>
  <si>
    <t>Обеспечением лицензированием</t>
  </si>
  <si>
    <t>Отдел лицензирование</t>
  </si>
  <si>
    <r>
      <t xml:space="preserve">Дошкольное образование и подготовка детей к школе                                                                                                        </t>
    </r>
    <r>
      <rPr>
        <sz val="11"/>
        <color indexed="8"/>
        <rFont val="Arial"/>
        <family val="2"/>
      </rPr>
      <t>Цели программы: Обеспечение доступа к качественным услугам дошкольного образования для всех групп населения</t>
    </r>
  </si>
  <si>
    <r>
      <t xml:space="preserve">Школьное и внешкольное образование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Цели программы: Создание условий для полноценного развития детей путем обеспечения доступа к эффективному образованию</t>
    </r>
  </si>
  <si>
    <t>Индекс доверия населения</t>
  </si>
  <si>
    <t>Процент исполнения бюджета без нарушений</t>
  </si>
  <si>
    <t xml:space="preserve">Доля выигранных судебных процессов по трудовым спорам </t>
  </si>
  <si>
    <t>Отношение выигранных судебных дел к их общему количеству</t>
  </si>
  <si>
    <t>Количество положительных упоминаний мин-ва/вед-ва в СМИ</t>
  </si>
  <si>
    <t xml:space="preserve">Доля сотрудников служб обеспечения от общей численности сотрудников ЦА </t>
  </si>
  <si>
    <t>коэф.</t>
  </si>
  <si>
    <t>ед/ед</t>
  </si>
  <si>
    <t>Приложение 1-1</t>
  </si>
  <si>
    <t xml:space="preserve">Контрольные цифры для министерств на 2015 год, разделенные на заработную плату и отчисления в Социальный фонд, другие текущие расходы, ПГИ,                                                                                                                                                      внутренние капитальные расходы и специальные средства </t>
  </si>
  <si>
    <t>Министерства и ведомства</t>
  </si>
  <si>
    <t>№</t>
  </si>
  <si>
    <t>в том числе:</t>
  </si>
  <si>
    <r>
      <t>Кап. Вложения</t>
    </r>
    <r>
      <rPr>
        <b/>
        <sz val="10"/>
        <color indexed="8"/>
        <rFont val="Arial"/>
        <family val="2"/>
      </rPr>
      <t>*</t>
    </r>
  </si>
  <si>
    <t>другие текущие расходы</t>
  </si>
  <si>
    <t xml:space="preserve"> Министерство образования и науки КР</t>
  </si>
  <si>
    <t xml:space="preserve"> * капложения  - здания и сооружения, машины и оборудование и другие основные фонды</t>
  </si>
  <si>
    <t>Код ПР</t>
  </si>
  <si>
    <t>Код МЕ</t>
  </si>
  <si>
    <t>Обеспечение мониторинга, анализа и стратегического планирования</t>
  </si>
  <si>
    <t>Общая координация на региональном уровне</t>
  </si>
  <si>
    <t>Организация деятельности и службы обеспечения (ТОП, МОП, автохозяйство, ИТ, охрана и.т.п)</t>
  </si>
  <si>
    <t>Отдел мониторинга и стратегического планирования</t>
  </si>
  <si>
    <t>Районные, городские отделы (управления) образования</t>
  </si>
  <si>
    <r>
      <t>09</t>
    </r>
    <r>
      <rPr>
        <sz val="9"/>
        <color indexed="8"/>
        <rFont val="Arial"/>
        <family val="2"/>
      </rPr>
      <t xml:space="preserve"> Общая координация на региональном уровне</t>
    </r>
  </si>
  <si>
    <t>Районные и гродские отелы (управления образования)</t>
  </si>
  <si>
    <r>
      <t>09</t>
    </r>
    <r>
      <rPr>
        <sz val="9"/>
        <color indexed="8"/>
        <rFont val="Arial"/>
        <family val="2"/>
      </rPr>
      <t>Общая координация на региональном уровне</t>
    </r>
  </si>
  <si>
    <t>годы</t>
  </si>
  <si>
    <t>зп</t>
  </si>
  <si>
    <t>сф</t>
  </si>
  <si>
    <t>итог ДОО</t>
  </si>
  <si>
    <t>продолжить кординацию подведомственных организаций  на региональном уровне.</t>
  </si>
  <si>
    <t xml:space="preserve">Доля трудоустроенных выпускников ВУЗов на бюджетной основе (с учетом продолжения обучения и самозанятости) </t>
  </si>
  <si>
    <t xml:space="preserve">Доля трудоустроенных по специальности выпускников педагогических специальностей ВУЗов (на бюджетной основе)   </t>
  </si>
  <si>
    <t>Доля школ полностью (100%) укомлектованных педагогическими кадрами</t>
  </si>
  <si>
    <t>Поддержание сети СПУЗов, формирование плана приема на бюджетные места в СПУЗы на основе заключенных с государственными и частными работодателями договоров на будущее трудоустройство; содействие развитию корпоративной модели управления организацией образования (попечительские советы), с вовлечением всех заинтересованных сторон (бизнес среда, местное сообщество); разработка и совершенствование нормативной правовой базы  среднего профессионального образования.</t>
  </si>
  <si>
    <t>Управление профессионального образования, СПУЗы</t>
  </si>
  <si>
    <t>025 Высшее профессиональное образование</t>
  </si>
  <si>
    <t>В рамках данной меры планируются: формирование плана приема в вузы на грантовое обучение на основе анализа потребности рынка труда; мероприятия по увеличению доли вузов (от общего числа) формирующих план приема на основании заключенных с работодателями договоров о целевой подготовке; анализ данных по трудоустройству выпускников посредством деятельности Центров карьеры и трудоустройства при вузах КР; Данная мера включает в себя также поддержание сети ВУЗов</t>
  </si>
  <si>
    <t>Доля направлений и специальностей высшего профессионального образования (по которым осуществляется бюджетный набор), соответствующих страновым приоритетам и экономическим стратегиям</t>
  </si>
  <si>
    <t>Управление профессионального образования, ВУЗы</t>
  </si>
  <si>
    <t>заключение договоров между вузами и работодателями о  повышении квалификации преподавателей на производстве по специальности; подготовка пакета документов, обеспечивающих легитимность документов государственного образца для дополнительного профессионального образования.</t>
  </si>
  <si>
    <t xml:space="preserve">Доля педагогов, участвовавших в программах повышения квалификации     </t>
  </si>
  <si>
    <t>В рамках данной меры предполагается: обновить нормативно-правовую базу деятельности вечерних/заочных/сменных школ и классов при школах; подготовить пакет изменений и дополнений в нормативную правовую базу в целях финансирования обучения в вечерних/сменных/заочных школах и классах за счет государственного бюджета; обновить учебные планы и программы обучения молодежи и взрослых в вечерних/заочных/сменных школах и классах при школах</t>
  </si>
  <si>
    <t>Количество принятых в вечерние/сменные/заочные классы при школах</t>
  </si>
  <si>
    <t>Управление дошкольного, школьного и внешкольного образования, школы, вечерние школы</t>
  </si>
  <si>
    <t>Управление профессионального образования, СПУЗы, ВУЗы</t>
  </si>
  <si>
    <t>Формирование перечня программ профессиональной переподготовки; разработка и утверждение требований к минимуму  содержания  дополнительных  образовательных профессиональных  программ; разработка и внедрение общих компетенций, востребованных работодаталями,  ; разработка нормативного правового акта, регулирующего проведение итоговой аттестации слушателей программ профессиональной переподготовки; разработка нормативной правовой базы для создания системы валидации профессиональных квалификаций, полученных в результате неформального и информального обучения.</t>
  </si>
  <si>
    <t>026 Образование взрослых</t>
  </si>
  <si>
    <t xml:space="preserve">Количество учебных заведений среднего профессионального образования, предоставляющих услуги дополнительного профессионального образования.   </t>
  </si>
  <si>
    <t>027 Государственная поддержка развития приоритетных направлений науки</t>
  </si>
  <si>
    <t>Развитие прикладной науки</t>
  </si>
  <si>
    <t>внедрение аттестации отраслевых научно-исследовательских учреждений и научных подразделений вузов для совершенствования квалифицированного научного потенциала в областях аграрной науки, медицины; разработка критериев оценки  научных проектов с учетом поставленных целей; совершенствование организации и независимой экспертизы научных проектов, финансируемых из госбюджета по статье «Наука» и качественного состава экспертных советов;</t>
  </si>
  <si>
    <t>Увеличение доли научных проектов, нацеленных на обеспечение позитивных структурных сдвигов в экономике республики</t>
  </si>
  <si>
    <t>В рамках данной меры в среднесрочной перспективе предполагается: создание при вузах научных институтов, научных центров и центров внедрения научно-технических разработок; проведение работы по вовлечению студентов и магистрантов в научно-исследовательскую работу вузов (до 15 % от общего количества исполнителей); формирование на факультетах вузов научно-технических обществ (НТО) студентов;</t>
  </si>
  <si>
    <t>Приложение 4</t>
  </si>
  <si>
    <t>Министерство образования и науки КР</t>
  </si>
  <si>
    <r>
      <rPr>
        <b/>
        <sz val="10"/>
        <color indexed="8"/>
        <rFont val="Arial"/>
        <family val="2"/>
      </rPr>
      <t>Программа 1.</t>
    </r>
    <r>
      <rPr>
        <sz val="10"/>
        <color theme="1"/>
        <rFont val="Arial"/>
        <family val="2"/>
      </rPr>
      <t xml:space="preserve"> Планирование, управления и администрирование</t>
    </r>
  </si>
  <si>
    <t>Индикатор результативности</t>
  </si>
  <si>
    <t>Ответственные подразделения</t>
  </si>
  <si>
    <t>ВСЕГО (контрольные цифры)</t>
  </si>
  <si>
    <t>ед. изм-я</t>
  </si>
  <si>
    <t>Целевые значения</t>
  </si>
  <si>
    <t>Базовый год</t>
  </si>
  <si>
    <t>Среднесрочный прогноз</t>
  </si>
  <si>
    <t>Источники данных</t>
  </si>
  <si>
    <t>Название программы</t>
  </si>
  <si>
    <t xml:space="preserve">Текущие расходы </t>
  </si>
  <si>
    <t>Всего (контрольные цифры)</t>
  </si>
  <si>
    <t>Бюджетные программы в разрезе источников финансирования</t>
  </si>
  <si>
    <t>тыс.сом</t>
  </si>
  <si>
    <t>зарплата</t>
  </si>
  <si>
    <t>в том числе</t>
  </si>
  <si>
    <t>отчисл. в соцфонд</t>
  </si>
  <si>
    <t>Бюджетное финансирование</t>
  </si>
  <si>
    <t>ПГИ (внешнее фин-е)</t>
  </si>
  <si>
    <t>ПГИ (внутр. фин-е)</t>
  </si>
  <si>
    <t>Спецсредства</t>
  </si>
  <si>
    <t>Кап. вложения</t>
  </si>
  <si>
    <t>ВСЕГО</t>
  </si>
  <si>
    <t>Бюджетная мера в разрезе источников финансирования</t>
  </si>
  <si>
    <t>Бюджетная организация</t>
  </si>
  <si>
    <t>Программа</t>
  </si>
  <si>
    <t>Бюджетная мера</t>
  </si>
  <si>
    <t>Связь с приоритетами Правительства</t>
  </si>
  <si>
    <t xml:space="preserve">Статус </t>
  </si>
  <si>
    <t>существующая мера</t>
  </si>
  <si>
    <t>новая мера</t>
  </si>
  <si>
    <t>отметить галочкой в прямоугольнике слева от статуса</t>
  </si>
  <si>
    <t>Краткое описание меры</t>
  </si>
  <si>
    <t>Индикаторы результативности по бюджетной мере</t>
  </si>
  <si>
    <t>Ед. изм-я</t>
  </si>
  <si>
    <t>Приложение 3</t>
  </si>
  <si>
    <t xml:space="preserve"> (тыс.сом)</t>
  </si>
  <si>
    <t>Бюджетные программы/Бюджетные меры</t>
  </si>
  <si>
    <t>Менеджер Программы /
Меры</t>
  </si>
  <si>
    <t xml:space="preserve">Ответственное Ведомство /
Подразделение
</t>
  </si>
  <si>
    <t>Со-исполнитель</t>
  </si>
  <si>
    <t>Финансирование (по программам и мерам) (тыс. сом)</t>
  </si>
  <si>
    <t>2015 г.</t>
  </si>
  <si>
    <t>2016 г.</t>
  </si>
  <si>
    <t>2017 г.</t>
  </si>
  <si>
    <t>Министр</t>
  </si>
  <si>
    <t>Центральный аппарат и территориальные подразделения</t>
  </si>
  <si>
    <t>%</t>
  </si>
  <si>
    <t>Обеспечение общего руководства</t>
  </si>
  <si>
    <t>Обеспечение финансового менеджмента и учета</t>
  </si>
  <si>
    <t>Статс секретарь</t>
  </si>
  <si>
    <t>Управление человеческими ресурсами</t>
  </si>
  <si>
    <t>Управление государственной и кадровой службы</t>
  </si>
  <si>
    <t>Правовая поддержка</t>
  </si>
  <si>
    <t>Сектор правового обсепечения</t>
  </si>
  <si>
    <t>Поддержание внешних связей и связей с общественностью</t>
  </si>
  <si>
    <t>Подготовка сектора образования к внедрению модели финансирования на основе широкосекторального подхода (SWAp)</t>
  </si>
  <si>
    <t>Управление бюджетной политики и финансового анализа,            Сектор мониторинга и стратегического планирования</t>
  </si>
  <si>
    <t xml:space="preserve">Итого </t>
  </si>
  <si>
    <t>Заместитель министра курирующий вопросы дошкольного и школьного образования</t>
  </si>
  <si>
    <t>Управление дошкольного, школьного и внешкольного образования</t>
  </si>
  <si>
    <t xml:space="preserve">  Охват детей соответствующего возраста (5,5-7 лет) программами предшкольной подготовки</t>
  </si>
  <si>
    <t>Повышение охвата детей 5-6 лет (включая детей с ограниченными возможностями) программой предшкольной подготовки через существующую сеть образовательных организаций</t>
  </si>
  <si>
    <t>Начальник Управления дошкольного, школьного и внешкольного образования</t>
  </si>
  <si>
    <t>Отдел реализации проекта ВБ Глобальное партнерство в образовании</t>
  </si>
  <si>
    <t xml:space="preserve">Число детей соответствующего возраста, охваченных программами предшкольной подготовки.                                         </t>
  </si>
  <si>
    <t>чел.</t>
  </si>
  <si>
    <t>Количество оборудованных класс-комплектов по предшкольной подготовке (парта, стулья, стол с учетом возрастных особенностей детей 5 - 6 - летнего возраста)</t>
  </si>
  <si>
    <t>ед.</t>
  </si>
  <si>
    <t>Доля оборудованных класс-комплектов по предшкольной подготовке от потребности</t>
  </si>
  <si>
    <t>Поддержание существующей сети государственных дошкольных образовательных организаций (ДОО)</t>
  </si>
  <si>
    <t>ОМСУ</t>
  </si>
  <si>
    <t xml:space="preserve">Количество ДОО, где внедрен государственный стандарт            </t>
  </si>
  <si>
    <t xml:space="preserve">Доля ДОО, где внедрен государственный стандарт       </t>
  </si>
  <si>
    <t>Численность педагогов, прошедших повышение квалификации;</t>
  </si>
  <si>
    <t>Расширение вариативных дошкольных образовательных организаций</t>
  </si>
  <si>
    <t>Количество созданных организаций - вариативных моделей дошкольного образования и программ для детей 3-5-лет;</t>
  </si>
  <si>
    <t>Охват детей вариативными ДОО</t>
  </si>
  <si>
    <t>Расширение сети государственных и муниципальных ДОО</t>
  </si>
  <si>
    <t>УКС</t>
  </si>
  <si>
    <t>Число новых ДОО</t>
  </si>
  <si>
    <t>по факту</t>
  </si>
  <si>
    <t xml:space="preserve">Доля новых ДОО от потребности </t>
  </si>
  <si>
    <t>Охват детей базовым образованием (1-9 класс)</t>
  </si>
  <si>
    <t>не ниже 96%</t>
  </si>
  <si>
    <t>Поддержание функционирования сети школьных учреждений в соответствии со стандартами</t>
  </si>
  <si>
    <t>Начальник Управления бюджетной политики и финансового анализа</t>
  </si>
  <si>
    <t>Управление бюджетной политики и финансового анализа, Управление дошкольного, школьного и внешкольного образования</t>
  </si>
  <si>
    <t>Доля школ, прошедших инвентаризацию</t>
  </si>
  <si>
    <t>-</t>
  </si>
  <si>
    <t>ед</t>
  </si>
  <si>
    <t>Оптимизации управления и финансирования детских учреждений интернатного типа</t>
  </si>
  <si>
    <t>Мин соц развития, Мин здрав</t>
  </si>
  <si>
    <t xml:space="preserve">Количество  учреждений интернатного типа
по которым подготовлены планы оптимизации/трансформации
</t>
  </si>
  <si>
    <t>Модернизация содержания образования с учетом компетентностного подхода</t>
  </si>
  <si>
    <t>Отдел реализации проекта ВБ Поддержка реформ сектора образования</t>
  </si>
  <si>
    <t xml:space="preserve">Доля школ, обеспеченных УМК для 1 кл (с учетом изношенности); </t>
  </si>
  <si>
    <t>Доля обеспеченности УМК для 2-4 классов</t>
  </si>
  <si>
    <t>Число предметных куррикулумов для 5-9 класса.</t>
  </si>
  <si>
    <t>Обеспечение условий предоставления инклюзивного образования детям с особыми нуждами на базе общеобразовательных и специальных школ</t>
  </si>
  <si>
    <t>за счет капстроительства и местного бюджета</t>
  </si>
  <si>
    <t>Кол-во общеобразовательных и специальных школ в которых созданы условия для обучения детей с особыми нуждами.</t>
  </si>
  <si>
    <t xml:space="preserve">по факту </t>
  </si>
  <si>
    <t>Перевод общеобразовательных организаций на принципы финансово-административной самостоятельности, основанной на ответственности перед получателем образовательных услуг</t>
  </si>
  <si>
    <t>Заместитель министра курирующий вопросы профессионального образования</t>
  </si>
  <si>
    <t>Управление профессионального образования</t>
  </si>
  <si>
    <t>Доля трудоустроенных и занятых выпускников (с учетом продолжения обучения) СПУЗов в первый год после окончания обучения</t>
  </si>
  <si>
    <t>Изменение структуры подготовки кадров со средним профессиональным образованием на основе анализа страновых приоритетов и экономических стратегий регионов</t>
  </si>
  <si>
    <t>Начальник управления профессионального образования</t>
  </si>
  <si>
    <t xml:space="preserve">Доля бюджетных мест, выделяемых на специальности соответствующие страновым приоритетам и экономическим стратегиям </t>
  </si>
  <si>
    <t>Привлечение работодателей к формированию квалификационной характеристики и процессу оценки квалификации выпускников, повышению качества кадрового потенциала педагогических работников СПУЗов</t>
  </si>
  <si>
    <t>СПУЗы</t>
  </si>
  <si>
    <t xml:space="preserve">Доля работодателей, включенных в состав государственных аттестационных комиссий </t>
  </si>
  <si>
    <t xml:space="preserve">Доля СПУЗов, заключающих договоры с работодателями о совместных проектах по повышению квалификации педагогов </t>
  </si>
  <si>
    <t>Информирование населения о системе среднего профессионального образования республики, направленное на повышения имиджа среднего профессионального образования</t>
  </si>
  <si>
    <t xml:space="preserve">Доля СПУЗов, создавших  Центры карьеры и трудоустройства                                                                                                                                                                                         </t>
  </si>
  <si>
    <t>Прирост числа желающих, принятых в организации СПО</t>
  </si>
  <si>
    <t>Оптимизация системы среднего профессионального образования</t>
  </si>
  <si>
    <t>Количество преобразованных  учебных заведений</t>
  </si>
  <si>
    <t>Изменение структуры подготовки кадров с высшим профессиональным образованием на основе анализа страновых приоритетов и экономических стратегий регионов</t>
  </si>
  <si>
    <t>ВУЗы</t>
  </si>
  <si>
    <t xml:space="preserve">Доля направлений и специальностей высшего профессионального образования (по которым осуществляется бюджетный набор), соответствующих страновым приоритетам и экономическим стратегиям </t>
  </si>
  <si>
    <t>Доля вузов (% от общего числа) формирующих план приема на основании заключенных с работодателями договоров о целевой подготовке</t>
  </si>
  <si>
    <t>Создание условий для развития системы повышения квалификации преподавателей вузов</t>
  </si>
  <si>
    <t xml:space="preserve">Доля педагогов, участвовавших в программах повышения квалификации              </t>
  </si>
  <si>
    <t>Обеспечение охвата основным образованием людей, не имеющих образования или выбывших из системы школьного образования ранее нормативно установленных сроков</t>
  </si>
  <si>
    <t xml:space="preserve">Количество вечерних/сменных/заочных школ </t>
  </si>
  <si>
    <t>Количество принятых в вечерние/сменные/заочные школы</t>
  </si>
  <si>
    <t>Количество вечерних/сменных/заочных классов</t>
  </si>
  <si>
    <t>Количество принятых в вечерние/сменные/заочные классы при дневных общеобразовательных школах</t>
  </si>
  <si>
    <t>Содействие адаптации экономически активного населения к быстро меняющимся требованиям рынка труда</t>
  </si>
  <si>
    <t xml:space="preserve">Количество учебных заведений среднего профессионального образования, предоставляющих услуги дополнительного профессионального образования.            </t>
  </si>
  <si>
    <t xml:space="preserve">Количество учебных заведений высшего профессионального образования, предоставляющих услуги дополнительного профессионального образования. </t>
  </si>
  <si>
    <t>Управление науки</t>
  </si>
  <si>
    <t>Начальник управления науки</t>
  </si>
  <si>
    <t xml:space="preserve">Увеличение доли научных проектов, нацеленных на обеспечение позитивных структурных сдвигов в экономике республики </t>
  </si>
  <si>
    <t>Доля молодых специалистов, привлеченных к выполнению исследований и разработок</t>
  </si>
  <si>
    <t>до 20</t>
  </si>
  <si>
    <t>Количество, созданных НИИ на базе вузов (ППУР) (вновь открываемых)</t>
  </si>
  <si>
    <t>Доля средств, выделяемых вузами на развитие научно-исследовательской работы</t>
  </si>
  <si>
    <t>Министерство образования и науки Кыргызской Республики</t>
  </si>
  <si>
    <t>х</t>
  </si>
  <si>
    <t>022 Дошкольное образование и подготовка детей к школе</t>
  </si>
  <si>
    <t xml:space="preserve">Число детей соответствующего возраста, охваченных программами предшкольной подготовки.  </t>
  </si>
  <si>
    <t>чел</t>
  </si>
  <si>
    <t>Статистическая отчетность и данные Рай/Гор ОНО</t>
  </si>
  <si>
    <t xml:space="preserve">Отчеты Рай/Гор ОНО и Отчеты ОРП ВБ Глобальное партнерство в образовании </t>
  </si>
  <si>
    <t xml:space="preserve">Количество ДОО, где внедрен государственный стандарт     </t>
  </si>
  <si>
    <t>Отчетность МОН КР и данные Рай/Гор ОНО</t>
  </si>
  <si>
    <t xml:space="preserve">Доля ДОО, где внедрен государственный стандарт    </t>
  </si>
  <si>
    <t xml:space="preserve">Управление дошкольного, школьного и внешкольного образования МОН КР,  </t>
  </si>
  <si>
    <t xml:space="preserve">Количество созданных организаций - вариативных моделей дошкольного образования и программ для детей 3-5-лет;   </t>
  </si>
  <si>
    <t xml:space="preserve">Число новых ДОО  </t>
  </si>
  <si>
    <t xml:space="preserve">Отчетность МОН КР </t>
  </si>
  <si>
    <t>Отчетность МОН КР</t>
  </si>
  <si>
    <t xml:space="preserve">оптимизация сетевой и организационной структуры системы школьного образования; 100 процентное завершение комплексной инвентаризации общеобразовательных школ; поддержка  инфраструктуры школ, учреждений дополнительного и внешкольного образования через предоставление средств за счет республиканского и местных бюджетов для текущего не менее 100 млн.сом и капитального ремонта не менее 100 млн.сом, с учетом оценки технического состояния; </t>
  </si>
  <si>
    <t>отчетность МОН КР и данные Рай/Гор ОНО</t>
  </si>
  <si>
    <t>Управление бюджетной политики и финансового анализа, Управление дошкольного, школьного и внешкольного образования, Рай/Гор ОНО</t>
  </si>
  <si>
    <t xml:space="preserve">Данная бюджетная мера внесена в соответствии с планами МОН КР и предполагает разработку и начальную стадию внедрения Плана трансформации, находящихся в 4 детских учреждениях интернатного типа  (2014 г.), в 4 детских учреждениях интернатного типа (2014-2015), в 2 детских учреждениях интернатного типа (2015-2016). </t>
  </si>
  <si>
    <t>ППКР № 813 от 7 декабря 2012 года «Об оптимизации управления и финансирования детских учреждений интернатного типа  Кыргызской Республики на 2013 – 2016 годы»</t>
  </si>
  <si>
    <t xml:space="preserve">отчетность МОН КР </t>
  </si>
  <si>
    <t xml:space="preserve">Количество  учреждений интернатного типа по которым подготовлены планы оптимизации/трансформации
</t>
  </si>
  <si>
    <t>Управление дошкольного, школьного и внешкольного образования, Отдел реализации проекта ВБ Поддержка реформ сектора образования</t>
  </si>
  <si>
    <t>бюджет</t>
  </si>
  <si>
    <t>спец</t>
  </si>
  <si>
    <t>2018 г.</t>
  </si>
  <si>
    <t xml:space="preserve">  -</t>
  </si>
  <si>
    <t>контрольные минфина</t>
  </si>
  <si>
    <t>внешнее финан-е</t>
  </si>
  <si>
    <t>внутренее финан-е</t>
  </si>
  <si>
    <t>итого бюджет + пги</t>
  </si>
  <si>
    <t>Приложение 9-1</t>
  </si>
  <si>
    <r>
      <t>Министерство/ведомство (</t>
    </r>
    <r>
      <rPr>
        <i/>
        <sz val="11"/>
        <color indexed="8"/>
        <rFont val="Arial"/>
        <family val="2"/>
      </rPr>
      <t>полное название министерства/ведомства</t>
    </r>
    <r>
      <rPr>
        <sz val="11"/>
        <color indexed="8"/>
        <rFont val="Arial"/>
        <family val="2"/>
      </rPr>
      <t>)</t>
    </r>
  </si>
  <si>
    <t>Бюджетные программы/
Бюджетные меры</t>
  </si>
  <si>
    <t>Ответственное Ведомство /
Подразделение</t>
  </si>
  <si>
    <t>Штатная численность</t>
  </si>
  <si>
    <t>Заработная плата</t>
  </si>
  <si>
    <t>Отчисления 
в Социальный фонд</t>
  </si>
  <si>
    <t>Расходы на
 служебные поездки</t>
  </si>
  <si>
    <t>Услуги  связи</t>
  </si>
  <si>
    <t>Арендная плата</t>
  </si>
  <si>
    <t>Транспортные услуги</t>
  </si>
  <si>
    <t>Приобретение
 прочих услуг</t>
  </si>
  <si>
    <t>Приобретение
 медикаментов изделий медицинского назначения</t>
  </si>
  <si>
    <t>Приобретение
 продуктов питания</t>
  </si>
  <si>
    <t>Расходы на текущий ремонт имущества</t>
  </si>
  <si>
    <t>Приобретение оборудования и материалов</t>
  </si>
  <si>
    <t>Приобретение угля и других видов топлива</t>
  </si>
  <si>
    <t>Приобретение, пошив и ремонт предметов вещевого имущества</t>
  </si>
  <si>
    <t>Приобретение услу охраны</t>
  </si>
  <si>
    <t>Плата за воду</t>
  </si>
  <si>
    <t>Плата за электроэнергию</t>
  </si>
  <si>
    <t>Плата за теплоэнергию</t>
  </si>
  <si>
    <t>Плата за газ</t>
  </si>
  <si>
    <t>Плата за прочие коммунальные услуги</t>
  </si>
  <si>
    <t>Субсидии нефинансовым государственным предприятиям</t>
  </si>
  <si>
    <t>Субсидии финансовым государственным предприятиям</t>
  </si>
  <si>
    <t>стипендии</t>
  </si>
  <si>
    <t>Здания и сооружения</t>
  </si>
  <si>
    <t>Машины и оборудование</t>
  </si>
  <si>
    <t>Другие основные фонды</t>
  </si>
  <si>
    <t>Кредиты, ссуды и займы</t>
  </si>
  <si>
    <t>Акции и другие формы
 участия в капитале</t>
  </si>
  <si>
    <t xml:space="preserve">Планирование, управление и администрирование                                                                                                                              </t>
  </si>
  <si>
    <t>Центральный аппарат и
 территориальные 
подразделения</t>
  </si>
  <si>
    <t>Управление бюджетной 
политики и финансового анализа, Управление бухгалтерского 
учета и отчетности</t>
  </si>
  <si>
    <t>Управление государственной
 и кадровой службы</t>
  </si>
  <si>
    <t>Сектор правового 
обсепечения</t>
  </si>
  <si>
    <t>Сектор международного
 сотрудничества, 
пресс-секретарь МОН</t>
  </si>
  <si>
    <t>Службы обеспечения(ТОП, МОП, автохозяйство, ИТ, охрана и.т.п)</t>
  </si>
  <si>
    <t>Управление бюджетной 
политики и финансового 
анализа, Сектор мониторинга 
и стратегического планирования</t>
  </si>
  <si>
    <t xml:space="preserve">Дошкольное образование и подготовка детей к школе                                                                                                        </t>
  </si>
  <si>
    <t>Управление дошкольного, 
школьного и внешкольного образования</t>
  </si>
  <si>
    <t xml:space="preserve">Школьное и внешкольное образование </t>
  </si>
  <si>
    <t xml:space="preserve">Среднее профессиональное образование    </t>
  </si>
  <si>
    <t>Управление 
профессионального 
образования</t>
  </si>
  <si>
    <t xml:space="preserve">Высшее профессиональное образование      </t>
  </si>
  <si>
    <t xml:space="preserve">Образование для взрослых        </t>
  </si>
  <si>
    <t xml:space="preserve">Государственная поддержка развития  приоритетных отраслей  науки  </t>
  </si>
  <si>
    <t>Развитие институционального потенциала и повышение качества вузовской науки, увеличение в вузах количества НИР, направленных на получение практического применения (ППУР)</t>
  </si>
  <si>
    <t>контрольная сумма</t>
  </si>
  <si>
    <t>разница</t>
  </si>
  <si>
    <t>другие 
тек.расходы</t>
  </si>
  <si>
    <t>кап.влож</t>
  </si>
  <si>
    <t>Управление бюджетной политики и финансового анализа, Управление бухгалтерского учета и отчетности</t>
  </si>
  <si>
    <t>Погашение гос ценных бумаг</t>
  </si>
  <si>
    <t xml:space="preserve">Исполнение решения суда </t>
  </si>
  <si>
    <t>Итого</t>
  </si>
  <si>
    <t>итого</t>
  </si>
  <si>
    <t>Всего</t>
  </si>
  <si>
    <t>Центральный аппарат и территориальные 
подразделения</t>
  </si>
  <si>
    <t>Стоимость бюджетных программ и мер в разрезе основных статей экономической классификации (специальные средства) на 2016 г.</t>
  </si>
  <si>
    <t>Стоимость бюджетных программ и мер в разрезе основных статей экономической классификации (бюджетные средства) на 2016 г.</t>
  </si>
  <si>
    <t>2019 г.</t>
  </si>
  <si>
    <t>2017г.</t>
  </si>
  <si>
    <t>Оптимизация и модернизация с учетом создания условий для ЛОВЗ</t>
  </si>
  <si>
    <t>Директор АПТО</t>
  </si>
  <si>
    <t>АПТО,  20 пилотных проф. Лицея</t>
  </si>
  <si>
    <t>Число учебных заведений  отремонтированных и оснащенныхв соответствиис современными требований и услвий для ЛОВЗ</t>
  </si>
  <si>
    <t xml:space="preserve"> Обновление содержания образования в соответствии с потребностями  рынка труда</t>
  </si>
  <si>
    <t xml:space="preserve"> РНМЦ, Эмгек Резерви</t>
  </si>
  <si>
    <t xml:space="preserve">Количество разработанных и внедренных в учебные процесс учебных программ и материалов в т.ч.для ЛОВЗ </t>
  </si>
  <si>
    <t>10   (1)</t>
  </si>
  <si>
    <t xml:space="preserve">Создание  эффективной системы управления и финансирования ПТО, в том числе  IT технологий </t>
  </si>
  <si>
    <t>Агентство</t>
  </si>
  <si>
    <t>Нормативное финансирование внедрено во всех учебных заведениях республики</t>
  </si>
  <si>
    <t xml:space="preserve">Развитие системы оценки качества профессионально-технического образования </t>
  </si>
  <si>
    <t>АПТО, Подведом  учрежд.</t>
  </si>
  <si>
    <t>Количество подготовленных специалистовдля предприятий КР с учетом требований рынка труда</t>
  </si>
  <si>
    <t>АПТО, проф. лицеи</t>
  </si>
  <si>
    <t>Сформирована рациональная и оптимальная система ПТО</t>
  </si>
  <si>
    <r>
      <rPr>
        <b/>
        <sz val="11"/>
        <color indexed="8"/>
        <rFont val="Arial"/>
        <family val="2"/>
      </rPr>
      <t>Начальное и среднее профессиональное образование.</t>
    </r>
    <r>
      <rPr>
        <sz val="11"/>
        <color indexed="8"/>
        <rFont val="Arial"/>
        <family val="2"/>
      </rPr>
      <t xml:space="preserve">
Цель программы: Создание оптимальных условий для развития системы начального  и среднего профессионального образования  
на основе эффективного использования внутренних и внешних ресурсов
</t>
    </r>
  </si>
  <si>
    <t>Описание бюджетной меры</t>
  </si>
  <si>
    <t>АПТО, Профессиональные лицеи</t>
  </si>
  <si>
    <t>√</t>
  </si>
  <si>
    <t xml:space="preserve">Указ Президента  Кыргызской Республики «О Национальной стратегии устойчивого развития Кыргызской Республики на период 2013-2017 годы»  от 21 января 2013 года УП № 11
Постановление Правительства Кыргызской Республики от 23 марта 2012 года № 201 О стратегических направлениях развития системы образования в Кыргызской Республике
</t>
  </si>
  <si>
    <t>Учебные заведения, ЦА АПТО</t>
  </si>
  <si>
    <t>3.2.  Обновление содержания образования в соответствии с потребностями  рынка труда</t>
  </si>
  <si>
    <t>АПТО,Профессиональные лицеи</t>
  </si>
  <si>
    <t>Разработка пакетов учебной документации в соответствии с современными профессиональными/ стандартами на основе компетенций и обеспечение учебных заведений учебной, методической и др. литературой, наглядными пособиями; Разработка механизмов внедрения гибких форм ведения учебно-производственного процесса (дуальное, профильное  и дистанционное обучение; Разработка стандарта начального профессионального образования с включением образовательного компонента, основанного на компетенциях; Разработка и внедрение программы  краткосрочных  курсов на модульной основе в соответствии с потребностями целевых групп  (безработное  взрослое население, жители  приграничных и отдаленных регионов и др.)</t>
  </si>
  <si>
    <t>3.2.Обновление содержания образования в соответствии с потребностями  рынка труда</t>
  </si>
  <si>
    <t>РНМЦ, Учебные заведения</t>
  </si>
  <si>
    <t xml:space="preserve">3.3.  Создание  эффективной системы управления и финансирования ПТО, в том числе  IT технологий </t>
  </si>
  <si>
    <t xml:space="preserve">Работа по Внедрению нормативного  (подушевого) финансирования в учебных заведениях системы ПТО ; Разработка Положения о стимулирующем фонде для учебных заведений ПТО; Разработка нормативов учебных расходных материалов для учебно-производственного процесса;  Создание системы социального маркетинга ПТО: Внедрение Информационной Системы Управления ПТО, включая: 
• систему финансирования на электронные форматы (учет, отчетность и планирование) 
• электронный документооборот  в системе ПТО
• систему постоянного мониторинга обучения 
Обеспечить переход на новые формы ведения планирования, учета и  отчетности; Укрепление потенциала структур социального партнерства;
</t>
  </si>
  <si>
    <t xml:space="preserve">3.3. Создание  эффективной системы управления и финансирования ПТО, в том числе  IT технологий </t>
  </si>
  <si>
    <t>В 2016 году определены 20   пилотных Проф.Лицея , ЦА АПТО</t>
  </si>
  <si>
    <t>АПТО, Подведомственные  учрежд., проф.лицеи</t>
  </si>
  <si>
    <r>
      <t xml:space="preserve">  </t>
    </r>
    <r>
      <rPr>
        <sz val="9"/>
        <color indexed="8"/>
        <rFont val="Arial"/>
        <family val="2"/>
      </rPr>
      <t>Министерство образования и  науки Кыргызской Республики</t>
    </r>
  </si>
  <si>
    <r>
      <t xml:space="preserve"> </t>
    </r>
    <r>
      <rPr>
        <b/>
        <sz val="9"/>
        <color indexed="8"/>
        <rFont val="Arial"/>
        <family val="2"/>
      </rPr>
      <t xml:space="preserve"> Министерство образования и  науки Кыргызской Республики</t>
    </r>
  </si>
  <si>
    <t>Структура бюджетных программ и мер по Министерству образованию и науки Кыргызской Республики на 2017 - 2019 гг.</t>
  </si>
  <si>
    <t>Центральный аппарат</t>
  </si>
  <si>
    <t>Общая координация на республиканском уровне</t>
  </si>
  <si>
    <t>Центральный аппарат и подведомственные организации</t>
  </si>
  <si>
    <t>Управления и отделы министерства и поведомственные организации на областном уровне</t>
  </si>
  <si>
    <t>Отдел реализации проекта ВБ Глобальное партнерство в образовании и ОМСУ</t>
  </si>
  <si>
    <t>ОМСУ, УКС</t>
  </si>
  <si>
    <t>Аппарат</t>
  </si>
  <si>
    <t>001 Общее координация на республиканском уровне</t>
  </si>
  <si>
    <t>Центральный аппарат МОН, подведомственные организации</t>
  </si>
  <si>
    <r>
      <t xml:space="preserve">001 </t>
    </r>
    <r>
      <rPr>
        <sz val="9"/>
        <color indexed="8"/>
        <rFont val="Arial"/>
        <family val="2"/>
      </rPr>
      <t xml:space="preserve">Общее координация на республиканском уровне </t>
    </r>
  </si>
  <si>
    <t>002 Общая координация на региональном уровне</t>
  </si>
  <si>
    <t xml:space="preserve">Реализация Государственного стандарта по дошкольному образованию, повышение квалификации педагогов. Увеличение охвата детей дошкольным образованием путем совместного финансирования вновь создаваемых дошкольных образовательных организаций за счет средств республиканского бюджета (финансирование заработной платы) и местных бюджетов органов местных самоуправлений  (создание и содержание инфраструктуры – выравнивающие гранты). 
Открытие и поэтапное оснащение классов по предшкольной подготовке детей; внедрение соответствующих программ; повышение квалификации педагогов, разработка и утверждение нормативных правовых документов для обеспечения обязательной предшкольной подготовки, анализ предоставления услуг предшкольной подготовки. Дальнейшая реализация 240-часовой программы подготовки детей к школе в период 2015-2016 гг. А также разработка и внедрение 480-часовой программы подготовки к школе в период 2016-2017 гг. </t>
  </si>
  <si>
    <r>
      <t>001</t>
    </r>
    <r>
      <rPr>
        <sz val="9"/>
        <color indexed="8"/>
        <rFont val="Arial"/>
        <family val="2"/>
      </rPr>
      <t xml:space="preserve"> Поддержание и расширение существующей сети государственных дошкольных образовательных организаций (ДОО) и повышение охвата детей 5-6 лет (включая детей с ограниченными возможностями) программой предшкольной подготовки</t>
    </r>
  </si>
  <si>
    <t>002 Расширение сети вариативных, государственных и муниципальных дошкольных образовательных организаций</t>
  </si>
  <si>
    <t xml:space="preserve">              Внедрение вариативных моделей организаций дошкольного образования и программ для детей 3-5 лет, а также проведение информационных кампаний в поддержку развития доступных для всех дошкольных образовательных организаций вариативного типа посредством СМИ и агитационных материалов. 
            Реализация меры предполагает расширение сети государственных и муниципальных дошкольных образовательных организаций путем строительства новых зданий.  (Примечание: Бюджетного финансирования данной меры в рамках бюджета МОН не предусмотрено, осуществляется за счет программы Капитальное строительство )</t>
  </si>
  <si>
    <t>Охват детей базовым образованиям (1-9класс)</t>
  </si>
  <si>
    <t>Доля школ полностью укомплектованных педагогическими кадрами</t>
  </si>
  <si>
    <t>3.1. Оптимизация и модернизация с учетом создания условий для ЛОВЗ и развитие системы оценки качества ПТО</t>
  </si>
  <si>
    <t xml:space="preserve">В рамкахэтой меры будет уделено внимание оснащению учебных заведений современным учебным оборудованием и оргтехникой, проведение реабилитационных работ в учебных заведениях, Оптимизированы и рационализированы материально-технические, человеческие и иные  ресурсы  профессионально-технического образования с целью создания гибкой и эффективной системы ПТО, отвечающей современным требованиям. Планируется: ремонтно–восстановительные работы в ПЛ, в том числе создание условий для обучения ЛОВЗ; Оснастить ПЛ современным учебным оборудованием с учетом технических требований к организации рабочего места и использованием энергосберегающих технологий по приоритетным профессиям; Создать электронную библиотеку учебно-программной документации в РНМЦ на государственном и официальном языках; Разработать механизмы внедрения гибких форм ведения учебно-производственного процесса (дуальное, профильное  и дистанционное обучение. 
Внедрить систему отслеживания и закрепляемости выпускников ПЛ на рабочем месте; Осуществлять сопровождение внедрения независимой аккредитации (консультирование, разработка соответствующих подзаконных НПА); Распространить систему независимой сертификации компетенций выпускников ПЛ; Создать систему самооценки деятельности ПЛ как часть общей системы оценки 
</t>
  </si>
  <si>
    <r>
      <t xml:space="preserve">03 </t>
    </r>
    <r>
      <rPr>
        <sz val="9"/>
        <color indexed="8"/>
        <rFont val="Arial"/>
        <family val="2"/>
      </rPr>
      <t>Информирование населения о системе среднего профессионального образования республики, направленное на повышения имиджа среднего профессионального образования и привлечение работодателей к формированию квалификационной характеристики и процессу оценки квалификации выпускников, повышению качества кадрового потенциала педагогических работников СПУЗов и оптимизация системы среднего профессионального образования</t>
    </r>
  </si>
  <si>
    <t>Для реализации данной меры планируется: создание при организациях СПО центров маркетинга, карьеры и трудоустройства; сотрудничество с СМИ – публикация статей о педагогических колледжах.
В рамках данной меры планируется включение в состав государственных аттестационных комиссий представителей организаций работодателей. А также заключение договоров с работодателями о совместных проектах по повышению квалификации педагогов.
Данная мера внесена согласно плана реформ МОН КР и предполагает разработку Положения о Попечительском совете организаций СПО; разработку типового устава организаций СПО, включающего положения по корпоративной модели управления; предоставление организациям образования широких полномочий для принятия управленческих решений, включая перераспределение финансовых ресурсов, расширение спектра образовательных услуг в зависимости от запросов местного рынка труда.</t>
  </si>
  <si>
    <r>
      <t xml:space="preserve">Предоставление высшего профессионального образования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 xml:space="preserve">Цель Программы: Подготовка кадров в ВУЗах в соответствии с потребностями рынка труда </t>
    </r>
  </si>
  <si>
    <r>
      <t xml:space="preserve">Предоставление образования для взрослых            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 xml:space="preserve">Цели программы: Удовлетворение потребностей населения в повышении уровня образования путем </t>
    </r>
  </si>
  <si>
    <r>
      <t xml:space="preserve">Директор АПТО </t>
    </r>
    <r>
      <rPr>
        <b/>
        <sz val="11"/>
        <color indexed="8"/>
        <rFont val="Arial"/>
        <family val="2"/>
      </rPr>
      <t>Заместитель министра курирующий вопросы профессионального образования</t>
    </r>
  </si>
  <si>
    <r>
      <rPr>
        <b/>
        <sz val="11"/>
        <color indexed="8"/>
        <rFont val="Arial"/>
        <family val="2"/>
      </rPr>
      <t>Развитие начального и среднего профессионального образования</t>
    </r>
    <r>
      <rPr>
        <sz val="11"/>
        <color indexed="8"/>
        <rFont val="Arial"/>
        <family val="2"/>
      </rPr>
      <t xml:space="preserve">
Цель программы: Создание оптимальных условий для развития системы начального  и среднего профессионального образования  
на основе эффективного использования внутренних и внешних ресурсов
</t>
    </r>
  </si>
  <si>
    <t xml:space="preserve">Начальное, среднее профессиональное образование </t>
  </si>
  <si>
    <r>
      <rPr>
        <b/>
        <sz val="10"/>
        <color indexed="8"/>
        <rFont val="Arial"/>
        <family val="2"/>
      </rPr>
      <t>Программа 2.</t>
    </r>
    <r>
      <rPr>
        <sz val="10"/>
        <color theme="1"/>
        <rFont val="Arial"/>
        <family val="2"/>
      </rPr>
      <t xml:space="preserve"> Дошкольное, школьное и внешкольное образование</t>
    </r>
  </si>
  <si>
    <r>
      <rPr>
        <b/>
        <sz val="10"/>
        <rFont val="Arial"/>
        <family val="2"/>
      </rPr>
      <t>Программа 3.</t>
    </r>
    <r>
      <rPr>
        <sz val="10"/>
        <rFont val="Arial"/>
        <family val="2"/>
      </rPr>
      <t xml:space="preserve"> Начальное, среднее профессиональное образование</t>
    </r>
  </si>
  <si>
    <r>
      <rPr>
        <b/>
        <sz val="10"/>
        <color indexed="8"/>
        <rFont val="Arial"/>
        <family val="2"/>
      </rPr>
      <t>Программа 4.</t>
    </r>
    <r>
      <rPr>
        <sz val="10"/>
        <color theme="1"/>
        <rFont val="Arial"/>
        <family val="2"/>
      </rPr>
      <t xml:space="preserve"> Высшее профессиональное образование</t>
    </r>
  </si>
  <si>
    <r>
      <rPr>
        <b/>
        <sz val="10"/>
        <color indexed="8"/>
        <rFont val="Arial"/>
        <family val="2"/>
      </rPr>
      <t>Программа 5.</t>
    </r>
    <r>
      <rPr>
        <sz val="10"/>
        <color theme="1"/>
        <rFont val="Arial"/>
        <family val="2"/>
      </rPr>
      <t xml:space="preserve"> Образование для взрослых</t>
    </r>
  </si>
  <si>
    <r>
      <rPr>
        <b/>
        <sz val="10"/>
        <color indexed="8"/>
        <rFont val="Arial"/>
        <family val="2"/>
      </rPr>
      <t>Программа 6.</t>
    </r>
    <r>
      <rPr>
        <sz val="10"/>
        <color theme="1"/>
        <rFont val="Arial"/>
        <family val="2"/>
      </rPr>
      <t xml:space="preserve"> Наука</t>
    </r>
  </si>
  <si>
    <t>2020 г.</t>
  </si>
  <si>
    <r>
      <t xml:space="preserve">Поддержка и развитие дошкольного, школьного и внешкольного  образования и подготовка детей к школе                                                                                                     </t>
    </r>
    <r>
      <rPr>
        <sz val="11"/>
        <color indexed="8"/>
        <rFont val="Arial"/>
        <family val="2"/>
      </rPr>
      <t>Цели программы: Обеспечение доступа к качественным услугам дошкольного, школьного и внешкольного образования для всех групп населения</t>
    </r>
  </si>
  <si>
    <t>Создание условий для полноценного развития детей путем обеспечения доступа к эффективному образованию</t>
  </si>
  <si>
    <r>
      <t>002</t>
    </r>
    <r>
      <rPr>
        <sz val="9"/>
        <color indexed="8"/>
        <rFont val="Arial"/>
        <family val="2"/>
      </rPr>
      <t xml:space="preserve"> Дошкольное, школьное и внешкольное  образование и подготовка детей к школе  </t>
    </r>
  </si>
  <si>
    <t>не ниже 90 тыс</t>
  </si>
  <si>
    <t>до 10</t>
  </si>
  <si>
    <t>не ниже 90 тыс.</t>
  </si>
  <si>
    <t>факту</t>
  </si>
  <si>
    <t>не ниже 90тыс</t>
  </si>
  <si>
    <t>2017г</t>
  </si>
  <si>
    <t>2018г.</t>
  </si>
  <si>
    <t xml:space="preserve">Доля специальностей СПО (по котторым осуществляется бюджетный набор), соответствующих потребностям рынка труда </t>
  </si>
  <si>
    <t>Доля образовательных организаций, получающих заказ на подготовку специавлистов от работодателей</t>
  </si>
  <si>
    <t>Увеличение контингента спузов</t>
  </si>
  <si>
    <t xml:space="preserve">  Охват детей соответствующего возраста (5,5-7 лет) программами предшкольной подготовки (от изявивших желание)</t>
  </si>
  <si>
    <r>
      <t>023</t>
    </r>
    <r>
      <rPr>
        <sz val="9"/>
        <color indexed="8"/>
        <rFont val="Arial"/>
        <family val="2"/>
      </rPr>
      <t xml:space="preserve"> Дошкольное, школьное и внешкольное образование</t>
    </r>
  </si>
  <si>
    <r>
      <t>023</t>
    </r>
    <r>
      <rPr>
        <sz val="9"/>
        <color indexed="8"/>
        <rFont val="Arial"/>
        <family val="2"/>
      </rPr>
      <t xml:space="preserve"> Дошкольное,школьное и внешкольное образование</t>
    </r>
  </si>
  <si>
    <t>Данная мера включает в себя дальнейшее внедрение модели нормативного финансирования в школах по республики. В рамках данной бюджетной меры предполагается оказание технической помощи на уровне школ по проведению анализа финансового состояния школ, формированию смет расходов на основе нормативов финансирования, численности учащихся по ступеням обучения и утвержденного норматива покрытия стандарта бюджетного финансирования</t>
  </si>
  <si>
    <t>Доля специальностей СПО (по которым осуществляется бюджетный набор), соответсвующих потребностям рынка труда</t>
  </si>
  <si>
    <t>Упраление дошкольного, школьного и внешкольного образования</t>
  </si>
  <si>
    <r>
      <t xml:space="preserve">АПТО, проф. Лицеи </t>
    </r>
    <r>
      <rPr>
        <b/>
        <sz val="11"/>
        <color indexed="8"/>
        <rFont val="Arial"/>
        <family val="2"/>
      </rPr>
      <t>Управление профессионального образованмия</t>
    </r>
  </si>
  <si>
    <t>Департамент науки</t>
  </si>
  <si>
    <t>Директор Департамента науки</t>
  </si>
  <si>
    <t xml:space="preserve">План действий  по реализации Стратегии образования в Кыргызской Республике на 2016-2017 годы </t>
  </si>
  <si>
    <t>Управление дошкольного, школьного и внешкольного образования,  Отдел реализации проекта ВБ Глобальное партнерство в образовании и государственные дошкольные образовательные организации.  Районные/городские отделы образования и государственные дошкольные образовательные организации</t>
  </si>
  <si>
    <t>Департамент науки, ВУЗы</t>
  </si>
  <si>
    <t>обеспечение общеобразовательных организаций учебниками, компьютерами и мебелю</t>
  </si>
  <si>
    <t>Общая координация на республиканском уровне (бюджет и спец. средства)</t>
  </si>
  <si>
    <t>Общая координация на региональном уровне (бюджет и спец. средства)</t>
  </si>
  <si>
    <t xml:space="preserve">Поддержание и расширение существующей сети государственных дошкольных образовательных организаций (ДОО) и повышение охвата детей 5-6 лет (включая детей с ограниченными возможностями) программой предшкольной подготовки (бюджетные средства) </t>
  </si>
  <si>
    <t>Поддержание функционирования сети школьных учреждений в соответствии со стандартами (бюжетные средства)</t>
  </si>
  <si>
    <t>Перевод общеобразовательных организаций на принципы финансово-административной самостоятельности, основанной на ответственности перед получателем образовательных услуг (ПГИ внутренее финансирование)</t>
  </si>
  <si>
    <t>Оптимизация и модернизация с 
учетом создания условий для ЛОВЗ и развитие системы оценки качества ПТО (бюджет и спец. средства)</t>
  </si>
  <si>
    <t xml:space="preserve"> Обновление содержания образования в соответствии с потребностями  рынка труда (ПГИ внешнее финансирование)</t>
  </si>
  <si>
    <t>Создание  эффективной системы управления и финансирования ПТО, в том числе  IT технологий ( ПГИ внутренее финансирование)</t>
  </si>
  <si>
    <t>Изменение структуры подготовки кадров со средним профессиональным образованием на основе анализа страновых приоритетов и экономических стратегий регионов (бюджетные средства)</t>
  </si>
  <si>
    <t>Информирование населения о системе среднего профессионального образования республики, направленное на повышения имиджа среднего профессионального образования, Привлечение работодателей к формированию квалификационной характеристики и процессу оценки квалификации выпускников и оптимизация системы среднего профессионального образования (спец. средства)</t>
  </si>
  <si>
    <t>Изменение структуры подготовки кадров с высшим профессиональным образованием на основе анализа страновых приоритетов и экономических стратегий регионов (спец. Средства)</t>
  </si>
  <si>
    <t>Создание условий для развития системы повышения квалификации преподавателей вузов (бюджетные средства)</t>
  </si>
  <si>
    <t>Обеспечение охвата основным образованием людей, не имеющих образования или выбывших из системы школьного образования ранее нормативно установленных сроков (бюджетные средства)</t>
  </si>
  <si>
    <t>Содействие адаптации экономически активного населения к быстро меняющимся требованиям рынка труда (спец. средства)</t>
  </si>
  <si>
    <t>Развитие прикладной науки (бюджетные средства)</t>
  </si>
  <si>
    <r>
      <t>Развитие институционального потенциала и повышение качества вузовской науки, увеличение в вузах количества НИР, направленных на получение практического применения (</t>
    </r>
    <r>
      <rPr>
        <b/>
        <sz val="11"/>
        <color indexed="8"/>
        <rFont val="Arial"/>
        <family val="2"/>
      </rPr>
      <t>ППУР</t>
    </r>
    <r>
      <rPr>
        <sz val="11"/>
        <color indexed="8"/>
        <rFont val="Arial"/>
        <family val="2"/>
      </rPr>
      <t>) (спец. средства)</t>
    </r>
  </si>
  <si>
    <t>Расширение сети государственных и муниципальных дошкольных образовательных организаций (спец. Средства)</t>
  </si>
  <si>
    <t>2021 г.</t>
  </si>
  <si>
    <t>Отдел реализации проекта ВБ Поддержка реформ сектора образования, ОРП АБР Программа развития сектора: Укрепление системы образования</t>
  </si>
  <si>
    <t>Модернизация содержания образования с учетом компетентностного подхода (ПГИ внешнее и внутренее финансирование БВ и АБР)</t>
  </si>
  <si>
    <t>Бюджет и спец. всех профессиональных 
лицеев</t>
  </si>
  <si>
    <t>2018г</t>
  </si>
  <si>
    <t>2019г.</t>
  </si>
  <si>
    <t>Структура бюджетных программ и мер по Министерству образованию и науки Кыргызской Республики на 2019 - 2021 гг.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</si>
</sst>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(* #,##0.00_);_(* \(#,##0.00\);_(* &quot;-&quot;??_);_(@_)"/>
    <numFmt numFmtId="176" formatCode="_-* #,##0.0_р_._-;\-* #,##0.0_р_._-;_-* &quot;-&quot;?_р_._-;_-@_-"/>
    <numFmt numFmtId="177" formatCode="###,000__;\-###,000__"/>
    <numFmt numFmtId="178" formatCode="##,#00__;\-##,#00__"/>
    <numFmt numFmtId="179" formatCode="_-* #,##0_р_._-;\-* #,##0_р_._-;_-* &quot;-&quot;??_р_._-;_-@_-"/>
    <numFmt numFmtId="180" formatCode="0.0%"/>
    <numFmt numFmtId="181" formatCode="#,##0.000"/>
    <numFmt numFmtId="182" formatCode="[$-FC19]d\ mmmm\ yyyy\ &quot;г.&quot;"/>
    <numFmt numFmtId="183" formatCode="[&lt;=9999999]###\-####;\(###\)\ ###\-####"/>
    <numFmt numFmtId="184" formatCode="000000"/>
    <numFmt numFmtId="185" formatCode="##,#00.0__;\-##,#00.0__"/>
    <numFmt numFmtId="186" formatCode="_-* #,##0.0\ _₽_-;\-* #,##0.0\ _₽_-;_-* &quot;-&quot;?\ _₽_-;_-@_-"/>
    <numFmt numFmtId="187" formatCode="###,000.0__;\-###,000.0__"/>
  </numFmts>
  <fonts count="122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4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name val="Arial Cyr"/>
      <family val="2"/>
    </font>
    <font>
      <b/>
      <sz val="10"/>
      <name val="Arial"/>
      <family val="2"/>
    </font>
    <font>
      <b/>
      <sz val="11"/>
      <color indexed="10"/>
      <name val="Arial Cyr"/>
      <family val="0"/>
    </font>
    <font>
      <i/>
      <sz val="11"/>
      <color indexed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color indexed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1094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2" fillId="0" borderId="15" xfId="56" applyFont="1" applyFill="1" applyBorder="1" applyAlignment="1">
      <alignment horizontal="left" vertical="center" wrapText="1"/>
      <protection/>
    </xf>
    <xf numFmtId="0" fontId="2" fillId="0" borderId="15" xfId="56" applyFont="1" applyFill="1" applyBorder="1" applyAlignment="1">
      <alignment vertical="top" wrapText="1"/>
      <protection/>
    </xf>
    <xf numFmtId="0" fontId="2" fillId="0" borderId="15" xfId="56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2" fillId="0" borderId="17" xfId="0" applyNumberFormat="1" applyFont="1" applyBorder="1" applyAlignment="1">
      <alignment horizontal="right" vertical="center"/>
    </xf>
    <xf numFmtId="172" fontId="2" fillId="0" borderId="18" xfId="0" applyNumberFormat="1" applyFont="1" applyBorder="1" applyAlignment="1">
      <alignment horizontal="right" vertical="center"/>
    </xf>
    <xf numFmtId="172" fontId="2" fillId="0" borderId="19" xfId="0" applyNumberFormat="1" applyFont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72" fontId="14" fillId="0" borderId="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2" fontId="15" fillId="0" borderId="19" xfId="0" applyNumberFormat="1" applyFont="1" applyBorder="1" applyAlignment="1">
      <alignment horizontal="right" vertical="center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5" fillId="0" borderId="18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172" fontId="15" fillId="0" borderId="29" xfId="0" applyNumberFormat="1" applyFont="1" applyBorder="1" applyAlignment="1">
      <alignment horizontal="right" vertical="center"/>
    </xf>
    <xf numFmtId="172" fontId="16" fillId="0" borderId="24" xfId="0" applyNumberFormat="1" applyFont="1" applyBorder="1" applyAlignment="1">
      <alignment horizontal="right"/>
    </xf>
    <xf numFmtId="172" fontId="15" fillId="0" borderId="17" xfId="0" applyNumberFormat="1" applyFont="1" applyBorder="1" applyAlignment="1">
      <alignment horizontal="right" vertical="center"/>
    </xf>
    <xf numFmtId="172" fontId="15" fillId="0" borderId="18" xfId="0" applyNumberFormat="1" applyFont="1" applyBorder="1" applyAlignment="1">
      <alignment horizontal="right" vertical="center"/>
    </xf>
    <xf numFmtId="172" fontId="15" fillId="0" borderId="3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right" vertical="center" wrapText="1"/>
    </xf>
    <xf numFmtId="0" fontId="15" fillId="33" borderId="31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right" vertical="center" wrapText="1"/>
    </xf>
    <xf numFmtId="0" fontId="15" fillId="33" borderId="28" xfId="0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33" borderId="15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5" xfId="0" applyFont="1" applyBorder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5" xfId="56" applyFont="1" applyFill="1" applyBorder="1" applyAlignment="1">
      <alignment vertical="top" wrapText="1"/>
      <protection/>
    </xf>
    <xf numFmtId="0" fontId="4" fillId="0" borderId="32" xfId="56" applyFont="1" applyFill="1" applyBorder="1" applyAlignment="1">
      <alignment horizontal="left" vertical="center" wrapText="1"/>
      <protection/>
    </xf>
    <xf numFmtId="0" fontId="4" fillId="0" borderId="15" xfId="56" applyFont="1" applyFill="1" applyBorder="1" applyAlignment="1">
      <alignment horizontal="left" vertical="top" wrapText="1"/>
      <protection/>
    </xf>
    <xf numFmtId="0" fontId="6" fillId="0" borderId="33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33" xfId="56" applyFont="1" applyFill="1" applyBorder="1" applyAlignment="1">
      <alignment vertical="top" wrapText="1"/>
      <protection/>
    </xf>
    <xf numFmtId="0" fontId="4" fillId="0" borderId="15" xfId="56" applyFont="1" applyFill="1" applyBorder="1" applyAlignment="1">
      <alignment horizontal="left" vertical="center" wrapText="1"/>
      <protection/>
    </xf>
    <xf numFmtId="0" fontId="6" fillId="0" borderId="18" xfId="56" applyFont="1" applyFill="1" applyBorder="1" applyAlignment="1">
      <alignment vertical="top" wrapText="1"/>
      <protection/>
    </xf>
    <xf numFmtId="0" fontId="4" fillId="0" borderId="32" xfId="56" applyFont="1" applyFill="1" applyBorder="1" applyAlignment="1">
      <alignment horizontal="left" vertical="top" wrapText="1"/>
      <protection/>
    </xf>
    <xf numFmtId="0" fontId="4" fillId="0" borderId="15" xfId="56" applyFont="1" applyFill="1" applyBorder="1" applyAlignment="1">
      <alignment vertical="top" wrapText="1"/>
      <protection/>
    </xf>
    <xf numFmtId="0" fontId="4" fillId="0" borderId="34" xfId="56" applyFont="1" applyFill="1" applyBorder="1" applyAlignment="1">
      <alignment horizontal="left" vertical="top" wrapText="1"/>
      <protection/>
    </xf>
    <xf numFmtId="0" fontId="4" fillId="0" borderId="32" xfId="56" applyFont="1" applyFill="1" applyBorder="1" applyAlignment="1">
      <alignment vertical="top" wrapText="1"/>
      <protection/>
    </xf>
    <xf numFmtId="0" fontId="4" fillId="0" borderId="34" xfId="56" applyFont="1" applyFill="1" applyBorder="1" applyAlignment="1">
      <alignment vertical="top" wrapText="1"/>
      <protection/>
    </xf>
    <xf numFmtId="0" fontId="6" fillId="0" borderId="35" xfId="56" applyFont="1" applyFill="1" applyBorder="1" applyAlignment="1">
      <alignment vertical="top" wrapText="1"/>
      <protection/>
    </xf>
    <xf numFmtId="0" fontId="6" fillId="0" borderId="15" xfId="0" applyFont="1" applyFill="1" applyBorder="1" applyAlignment="1">
      <alignment horizontal="left" vertical="center"/>
    </xf>
    <xf numFmtId="174" fontId="4" fillId="0" borderId="0" xfId="93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6" fillId="0" borderId="15" xfId="56" applyFont="1" applyFill="1" applyBorder="1" applyAlignment="1">
      <alignment horizontal="center" vertical="center" wrapText="1"/>
      <protection/>
    </xf>
    <xf numFmtId="174" fontId="6" fillId="0" borderId="15" xfId="93" applyNumberFormat="1" applyFont="1" applyFill="1" applyBorder="1" applyAlignment="1">
      <alignment horizontal="center" vertical="center" wrapText="1"/>
    </xf>
    <xf numFmtId="176" fontId="6" fillId="0" borderId="15" xfId="56" applyNumberFormat="1" applyFont="1" applyFill="1" applyBorder="1" applyAlignment="1">
      <alignment vertical="top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right" vertical="center" wrapText="1"/>
      <protection/>
    </xf>
    <xf numFmtId="0" fontId="4" fillId="0" borderId="15" xfId="56" applyFont="1" applyFill="1" applyBorder="1" applyAlignment="1">
      <alignment horizontal="right" vertical="center" wrapText="1"/>
      <protection/>
    </xf>
    <xf numFmtId="0" fontId="4" fillId="0" borderId="15" xfId="56" applyFont="1" applyFill="1" applyBorder="1" applyAlignment="1">
      <alignment horizontal="right" vertical="center"/>
      <protection/>
    </xf>
    <xf numFmtId="0" fontId="4" fillId="0" borderId="35" xfId="56" applyFont="1" applyFill="1" applyBorder="1" applyAlignment="1">
      <alignment horizontal="right" vertical="center"/>
      <protection/>
    </xf>
    <xf numFmtId="174" fontId="4" fillId="0" borderId="32" xfId="93" applyNumberFormat="1" applyFont="1" applyFill="1" applyBorder="1" applyAlignment="1">
      <alignment vertical="center"/>
    </xf>
    <xf numFmtId="0" fontId="6" fillId="0" borderId="15" xfId="56" applyFont="1" applyFill="1" applyBorder="1" applyAlignment="1">
      <alignment horizontal="center" vertical="top" wrapText="1"/>
      <protection/>
    </xf>
    <xf numFmtId="0" fontId="4" fillId="0" borderId="15" xfId="56" applyFont="1" applyFill="1" applyBorder="1" applyAlignment="1">
      <alignment horizontal="center" vertical="top" wrapText="1"/>
      <protection/>
    </xf>
    <xf numFmtId="0" fontId="4" fillId="0" borderId="35" xfId="56" applyFont="1" applyFill="1" applyBorder="1" applyAlignment="1">
      <alignment horizontal="right" vertical="center" wrapText="1"/>
      <protection/>
    </xf>
    <xf numFmtId="174" fontId="6" fillId="0" borderId="15" xfId="93" applyNumberFormat="1" applyFont="1" applyFill="1" applyBorder="1" applyAlignment="1">
      <alignment vertical="center" wrapText="1"/>
    </xf>
    <xf numFmtId="172" fontId="6" fillId="0" borderId="15" xfId="56" applyNumberFormat="1" applyFont="1" applyFill="1" applyBorder="1" applyAlignment="1">
      <alignment vertical="top" wrapText="1"/>
      <protection/>
    </xf>
    <xf numFmtId="3" fontId="4" fillId="0" borderId="15" xfId="56" applyNumberFormat="1" applyFont="1" applyFill="1" applyBorder="1" applyAlignment="1">
      <alignment horizontal="right" vertical="center" wrapText="1"/>
      <protection/>
    </xf>
    <xf numFmtId="3" fontId="4" fillId="0" borderId="35" xfId="56" applyNumberFormat="1" applyFont="1" applyFill="1" applyBorder="1" applyAlignment="1">
      <alignment horizontal="right" vertical="center" wrapText="1"/>
      <protection/>
    </xf>
    <xf numFmtId="9" fontId="4" fillId="0" borderId="15" xfId="56" applyNumberFormat="1" applyFont="1" applyFill="1" applyBorder="1" applyAlignment="1">
      <alignment horizontal="right" vertical="center" wrapText="1"/>
      <protection/>
    </xf>
    <xf numFmtId="173" fontId="4" fillId="0" borderId="15" xfId="56" applyNumberFormat="1" applyFont="1" applyFill="1" applyBorder="1" applyAlignment="1">
      <alignment horizontal="right" vertical="center" wrapText="1"/>
      <protection/>
    </xf>
    <xf numFmtId="173" fontId="4" fillId="0" borderId="35" xfId="56" applyNumberFormat="1" applyFont="1" applyFill="1" applyBorder="1" applyAlignment="1">
      <alignment horizontal="right" vertical="center" wrapText="1"/>
      <protection/>
    </xf>
    <xf numFmtId="1" fontId="4" fillId="0" borderId="15" xfId="88" applyNumberFormat="1" applyFont="1" applyFill="1" applyBorder="1" applyAlignment="1">
      <alignment horizontal="right" vertical="center" wrapText="1"/>
    </xf>
    <xf numFmtId="1" fontId="4" fillId="0" borderId="35" xfId="88" applyNumberFormat="1" applyFont="1" applyFill="1" applyBorder="1" applyAlignment="1">
      <alignment horizontal="right" vertical="center" wrapText="1"/>
    </xf>
    <xf numFmtId="1" fontId="4" fillId="0" borderId="15" xfId="56" applyNumberFormat="1" applyFont="1" applyFill="1" applyBorder="1" applyAlignment="1">
      <alignment horizontal="right" vertical="center" wrapText="1"/>
      <protection/>
    </xf>
    <xf numFmtId="174" fontId="4" fillId="0" borderId="34" xfId="93" applyNumberFormat="1" applyFont="1" applyFill="1" applyBorder="1" applyAlignment="1">
      <alignment vertical="center"/>
    </xf>
    <xf numFmtId="174" fontId="4" fillId="0" borderId="15" xfId="93" applyNumberFormat="1" applyFont="1" applyFill="1" applyBorder="1" applyAlignment="1">
      <alignment vertical="center" wrapText="1"/>
    </xf>
    <xf numFmtId="0" fontId="6" fillId="0" borderId="35" xfId="56" applyFont="1" applyFill="1" applyBorder="1" applyAlignment="1">
      <alignment horizontal="right" vertical="center" wrapText="1"/>
      <protection/>
    </xf>
    <xf numFmtId="174" fontId="4" fillId="0" borderId="15" xfId="93" applyNumberFormat="1" applyFont="1" applyFill="1" applyBorder="1" applyAlignment="1">
      <alignment vertical="center"/>
    </xf>
    <xf numFmtId="9" fontId="4" fillId="0" borderId="35" xfId="56" applyNumberFormat="1" applyFont="1" applyFill="1" applyBorder="1" applyAlignment="1">
      <alignment horizontal="right" vertical="center" wrapText="1"/>
      <protection/>
    </xf>
    <xf numFmtId="0" fontId="4" fillId="0" borderId="15" xfId="56" applyFont="1" applyFill="1" applyBorder="1" applyAlignment="1">
      <alignment horizontal="center"/>
      <protection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36" xfId="56" applyFont="1" applyFill="1" applyBorder="1" applyAlignment="1">
      <alignment horizontal="left" vertical="top" wrapText="1"/>
      <protection/>
    </xf>
    <xf numFmtId="0" fontId="6" fillId="0" borderId="37" xfId="56" applyFont="1" applyFill="1" applyBorder="1" applyAlignment="1">
      <alignment horizontal="left" vertical="top" wrapText="1"/>
      <protection/>
    </xf>
    <xf numFmtId="0" fontId="6" fillId="0" borderId="33" xfId="56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15" xfId="56" applyFont="1" applyFill="1" applyBorder="1" applyAlignment="1">
      <alignment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8" xfId="56" applyFont="1" applyFill="1" applyBorder="1" applyAlignment="1">
      <alignment horizontal="center" vertical="top" wrapText="1"/>
      <protection/>
    </xf>
    <xf numFmtId="0" fontId="4" fillId="0" borderId="35" xfId="56" applyFont="1" applyFill="1" applyBorder="1" applyAlignment="1">
      <alignment horizontal="center" vertical="top" wrapText="1"/>
      <protection/>
    </xf>
    <xf numFmtId="0" fontId="4" fillId="0" borderId="38" xfId="56" applyFont="1" applyFill="1" applyBorder="1" applyAlignment="1">
      <alignment horizontal="center" vertical="center" wrapText="1"/>
      <protection/>
    </xf>
    <xf numFmtId="0" fontId="4" fillId="0" borderId="39" xfId="56" applyFont="1" applyFill="1" applyBorder="1" applyAlignment="1">
      <alignment horizontal="center" vertical="center" wrapText="1"/>
      <protection/>
    </xf>
    <xf numFmtId="0" fontId="4" fillId="0" borderId="32" xfId="56" applyFont="1" applyFill="1" applyBorder="1" applyAlignment="1">
      <alignment horizontal="center" vertical="top" wrapText="1"/>
      <protection/>
    </xf>
    <xf numFmtId="0" fontId="4" fillId="0" borderId="34" xfId="56" applyFont="1" applyFill="1" applyBorder="1" applyAlignment="1">
      <alignment horizontal="center" vertical="top" wrapText="1"/>
      <protection/>
    </xf>
    <xf numFmtId="0" fontId="4" fillId="0" borderId="32" xfId="56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right" vertical="center"/>
    </xf>
    <xf numFmtId="0" fontId="6" fillId="36" borderId="15" xfId="56" applyFont="1" applyFill="1" applyBorder="1" applyAlignment="1">
      <alignment horizontal="left" vertical="top" wrapText="1"/>
      <protection/>
    </xf>
    <xf numFmtId="0" fontId="6" fillId="36" borderId="33" xfId="56" applyFont="1" applyFill="1" applyBorder="1" applyAlignment="1">
      <alignment horizontal="left" vertical="top" wrapText="1"/>
      <protection/>
    </xf>
    <xf numFmtId="0" fontId="6" fillId="36" borderId="15" xfId="56" applyFont="1" applyFill="1" applyBorder="1" applyAlignment="1">
      <alignment horizontal="center" vertical="top" wrapText="1"/>
      <protection/>
    </xf>
    <xf numFmtId="174" fontId="6" fillId="36" borderId="15" xfId="93" applyNumberFormat="1" applyFont="1" applyFill="1" applyBorder="1" applyAlignment="1">
      <alignment vertical="center" wrapText="1"/>
    </xf>
    <xf numFmtId="0" fontId="6" fillId="36" borderId="15" xfId="56" applyFont="1" applyFill="1" applyBorder="1" applyAlignment="1">
      <alignment horizontal="right" vertical="center" wrapText="1"/>
      <protection/>
    </xf>
    <xf numFmtId="0" fontId="4" fillId="36" borderId="15" xfId="56" applyFont="1" applyFill="1" applyBorder="1" applyAlignment="1">
      <alignment horizontal="right" vertical="center" wrapText="1"/>
      <protection/>
    </xf>
    <xf numFmtId="0" fontId="4" fillId="36" borderId="15" xfId="56" applyFont="1" applyFill="1" applyBorder="1" applyAlignment="1">
      <alignment horizontal="right" vertical="center"/>
      <protection/>
    </xf>
    <xf numFmtId="0" fontId="4" fillId="36" borderId="35" xfId="56" applyFont="1" applyFill="1" applyBorder="1" applyAlignment="1">
      <alignment horizontal="right" vertical="center"/>
      <protection/>
    </xf>
    <xf numFmtId="174" fontId="6" fillId="36" borderId="34" xfId="93" applyNumberFormat="1" applyFont="1" applyFill="1" applyBorder="1" applyAlignment="1">
      <alignment vertical="center" wrapText="1"/>
    </xf>
    <xf numFmtId="0" fontId="4" fillId="36" borderId="15" xfId="56" applyFont="1" applyFill="1" applyBorder="1" applyAlignment="1">
      <alignment horizontal="left" vertical="top" wrapText="1"/>
      <protection/>
    </xf>
    <xf numFmtId="0" fontId="4" fillId="36" borderId="15" xfId="56" applyFont="1" applyFill="1" applyBorder="1" applyAlignment="1">
      <alignment horizontal="center" vertical="top" wrapText="1"/>
      <protection/>
    </xf>
    <xf numFmtId="0" fontId="4" fillId="0" borderId="32" xfId="56" applyFont="1" applyFill="1" applyBorder="1" applyAlignment="1">
      <alignment horizontal="right" vertical="center"/>
      <protection/>
    </xf>
    <xf numFmtId="0" fontId="4" fillId="36" borderId="15" xfId="56" applyFont="1" applyFill="1" applyBorder="1" applyAlignment="1">
      <alignment horizontal="center" vertical="center" wrapText="1"/>
      <protection/>
    </xf>
    <xf numFmtId="0" fontId="4" fillId="36" borderId="35" xfId="56" applyFont="1" applyFill="1" applyBorder="1" applyAlignment="1">
      <alignment horizontal="right" vertical="center" wrapText="1"/>
      <protection/>
    </xf>
    <xf numFmtId="0" fontId="4" fillId="36" borderId="15" xfId="56" applyFont="1" applyFill="1" applyBorder="1" applyAlignment="1">
      <alignment horizontal="center"/>
      <protection/>
    </xf>
    <xf numFmtId="0" fontId="4" fillId="36" borderId="34" xfId="56" applyFont="1" applyFill="1" applyBorder="1" applyAlignment="1">
      <alignment horizontal="left" vertical="top" wrapText="1"/>
      <protection/>
    </xf>
    <xf numFmtId="0" fontId="4" fillId="0" borderId="38" xfId="56" applyFont="1" applyFill="1" applyBorder="1" applyAlignment="1">
      <alignment horizontal="left" vertical="top" wrapText="1"/>
      <protection/>
    </xf>
    <xf numFmtId="0" fontId="4" fillId="0" borderId="39" xfId="0" applyFont="1" applyFill="1" applyBorder="1" applyAlignment="1">
      <alignment horizontal="left"/>
    </xf>
    <xf numFmtId="0" fontId="4" fillId="36" borderId="34" xfId="56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4" fillId="36" borderId="34" xfId="56" applyFont="1" applyFill="1" applyBorder="1" applyAlignment="1">
      <alignment horizontal="right" vertical="center"/>
      <protection/>
    </xf>
    <xf numFmtId="0" fontId="4" fillId="0" borderId="34" xfId="0" applyFont="1" applyFill="1" applyBorder="1" applyAlignment="1">
      <alignment/>
    </xf>
    <xf numFmtId="0" fontId="4" fillId="0" borderId="38" xfId="56" applyFont="1" applyFill="1" applyBorder="1" applyAlignment="1">
      <alignment horizontal="right" vertical="center"/>
      <protection/>
    </xf>
    <xf numFmtId="0" fontId="4" fillId="0" borderId="39" xfId="0" applyFont="1" applyFill="1" applyBorder="1" applyAlignment="1">
      <alignment/>
    </xf>
    <xf numFmtId="0" fontId="4" fillId="36" borderId="39" xfId="56" applyFont="1" applyFill="1" applyBorder="1" applyAlignment="1">
      <alignment horizontal="right" vertical="center"/>
      <protection/>
    </xf>
    <xf numFmtId="172" fontId="2" fillId="0" borderId="13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73" fontId="11" fillId="35" borderId="15" xfId="0" applyNumberFormat="1" applyFont="1" applyFill="1" applyBorder="1" applyAlignment="1">
      <alignment wrapText="1"/>
    </xf>
    <xf numFmtId="172" fontId="5" fillId="0" borderId="15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11" fillId="0" borderId="15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/>
    </xf>
    <xf numFmtId="173" fontId="0" fillId="35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0" fillId="0" borderId="15" xfId="57" applyFont="1" applyBorder="1" applyAlignment="1">
      <alignment horizontal="center" wrapText="1"/>
      <protection/>
    </xf>
    <xf numFmtId="177" fontId="7" fillId="0" borderId="41" xfId="0" applyNumberFormat="1" applyFont="1" applyBorder="1" applyAlignment="1">
      <alignment horizontal="right" vertical="center"/>
    </xf>
    <xf numFmtId="0" fontId="2" fillId="35" borderId="34" xfId="0" applyFont="1" applyFill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35" borderId="15" xfId="0" applyFont="1" applyFill="1" applyBorder="1" applyAlignment="1">
      <alignment vertical="center" wrapText="1"/>
    </xf>
    <xf numFmtId="172" fontId="4" fillId="0" borderId="34" xfId="56" applyNumberFormat="1" applyFont="1" applyFill="1" applyBorder="1" applyAlignment="1">
      <alignment horizontal="center" vertical="center" wrapText="1"/>
      <protection/>
    </xf>
    <xf numFmtId="176" fontId="4" fillId="0" borderId="15" xfId="56" applyNumberFormat="1" applyFont="1" applyFill="1" applyBorder="1" applyAlignment="1">
      <alignment horizontal="center" vertical="top" wrapText="1"/>
      <protection/>
    </xf>
    <xf numFmtId="176" fontId="4" fillId="0" borderId="35" xfId="56" applyNumberFormat="1" applyFont="1" applyFill="1" applyBorder="1" applyAlignment="1">
      <alignment horizontal="center" vertical="top" wrapText="1"/>
      <protection/>
    </xf>
    <xf numFmtId="176" fontId="21" fillId="35" borderId="15" xfId="56" applyNumberFormat="1" applyFont="1" applyFill="1" applyBorder="1" applyAlignment="1">
      <alignment vertical="top" wrapText="1"/>
      <protection/>
    </xf>
    <xf numFmtId="176" fontId="6" fillId="36" borderId="15" xfId="56" applyNumberFormat="1" applyFont="1" applyFill="1" applyBorder="1" applyAlignment="1">
      <alignment horizontal="center" vertical="top" wrapText="1"/>
      <protection/>
    </xf>
    <xf numFmtId="0" fontId="19" fillId="0" borderId="0" xfId="0" applyFont="1" applyFill="1" applyAlignment="1">
      <alignment/>
    </xf>
    <xf numFmtId="172" fontId="19" fillId="0" borderId="0" xfId="0" applyNumberFormat="1" applyFont="1" applyFill="1" applyAlignment="1">
      <alignment/>
    </xf>
    <xf numFmtId="177" fontId="7" fillId="0" borderId="4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45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172" fontId="15" fillId="0" borderId="24" xfId="0" applyNumberFormat="1" applyFont="1" applyBorder="1" applyAlignment="1">
      <alignment horizontal="right" vertical="center"/>
    </xf>
    <xf numFmtId="172" fontId="15" fillId="0" borderId="10" xfId="0" applyNumberFormat="1" applyFont="1" applyBorder="1" applyAlignment="1">
      <alignment horizontal="right" vertical="center"/>
    </xf>
    <xf numFmtId="172" fontId="4" fillId="0" borderId="15" xfId="56" applyNumberFormat="1" applyFont="1" applyFill="1" applyBorder="1" applyAlignment="1">
      <alignment horizontal="right" vertical="center" wrapText="1"/>
      <protection/>
    </xf>
    <xf numFmtId="177" fontId="7" fillId="0" borderId="38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0" fontId="10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29" fillId="0" borderId="0" xfId="57" applyFont="1">
      <alignment/>
      <protection/>
    </xf>
    <xf numFmtId="0" fontId="30" fillId="0" borderId="32" xfId="57" applyFont="1" applyBorder="1" applyAlignment="1">
      <alignment horizontal="center" vertical="center" wrapText="1"/>
      <protection/>
    </xf>
    <xf numFmtId="0" fontId="31" fillId="0" borderId="15" xfId="57" applyFont="1" applyBorder="1" applyAlignment="1">
      <alignment horizontal="center" vertical="center" textRotation="90" wrapText="1"/>
      <protection/>
    </xf>
    <xf numFmtId="0" fontId="32" fillId="0" borderId="15" xfId="57" applyFont="1" applyBorder="1" applyAlignment="1">
      <alignment horizontal="center" vertical="center" textRotation="90" wrapText="1"/>
      <protection/>
    </xf>
    <xf numFmtId="0" fontId="11" fillId="0" borderId="15" xfId="57" applyFont="1" applyBorder="1">
      <alignment/>
      <protection/>
    </xf>
    <xf numFmtId="0" fontId="26" fillId="0" borderId="15" xfId="57" applyFont="1" applyBorder="1" applyAlignment="1">
      <alignment horizontal="left" vertical="center" wrapText="1"/>
      <protection/>
    </xf>
    <xf numFmtId="172" fontId="11" fillId="0" borderId="15" xfId="57" applyNumberFormat="1" applyFont="1" applyBorder="1" applyAlignment="1">
      <alignment horizontal="left" vertical="center" wrapText="1"/>
      <protection/>
    </xf>
    <xf numFmtId="0" fontId="9" fillId="0" borderId="15" xfId="56" applyFont="1" applyFill="1" applyBorder="1" applyAlignment="1">
      <alignment horizontal="left" vertical="top" wrapText="1"/>
      <protection/>
    </xf>
    <xf numFmtId="0" fontId="7" fillId="0" borderId="15" xfId="56" applyFont="1" applyFill="1" applyBorder="1" applyAlignment="1">
      <alignment vertical="center" wrapText="1"/>
      <protection/>
    </xf>
    <xf numFmtId="172" fontId="26" fillId="0" borderId="15" xfId="57" applyNumberFormat="1" applyFont="1" applyBorder="1" applyAlignment="1">
      <alignment horizontal="left" vertical="center" wrapText="1"/>
      <protection/>
    </xf>
    <xf numFmtId="0" fontId="9" fillId="0" borderId="32" xfId="56" applyFont="1" applyFill="1" applyBorder="1" applyAlignment="1">
      <alignment horizontal="left" vertical="top" wrapText="1"/>
      <protection/>
    </xf>
    <xf numFmtId="0" fontId="5" fillId="0" borderId="32" xfId="56" applyFont="1" applyFill="1" applyBorder="1" applyAlignment="1">
      <alignment horizontal="left" vertical="top" wrapText="1"/>
      <protection/>
    </xf>
    <xf numFmtId="0" fontId="9" fillId="0" borderId="32" xfId="56" applyFont="1" applyFill="1" applyBorder="1" applyAlignment="1">
      <alignment horizontal="left" vertical="center" wrapText="1"/>
      <protection/>
    </xf>
    <xf numFmtId="0" fontId="9" fillId="0" borderId="15" xfId="56" applyFont="1" applyFill="1" applyBorder="1" applyAlignment="1">
      <alignment horizontal="left" vertical="center" wrapText="1"/>
      <protection/>
    </xf>
    <xf numFmtId="1" fontId="33" fillId="0" borderId="0" xfId="57" applyNumberFormat="1" applyFont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35" fillId="0" borderId="0" xfId="57" applyFont="1" applyAlignment="1">
      <alignment/>
      <protection/>
    </xf>
    <xf numFmtId="0" fontId="36" fillId="0" borderId="0" xfId="57" applyFont="1" applyAlignment="1">
      <alignment horizontal="right"/>
      <protection/>
    </xf>
    <xf numFmtId="0" fontId="5" fillId="0" borderId="0" xfId="0" applyFont="1" applyAlignment="1">
      <alignment/>
    </xf>
    <xf numFmtId="1" fontId="37" fillId="0" borderId="0" xfId="57" applyNumberFormat="1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0" fontId="32" fillId="0" borderId="0" xfId="57" applyFont="1" applyAlignment="1">
      <alignment horizontal="right"/>
      <protection/>
    </xf>
    <xf numFmtId="1" fontId="9" fillId="0" borderId="0" xfId="0" applyNumberFormat="1" applyFont="1" applyAlignment="1">
      <alignment/>
    </xf>
    <xf numFmtId="0" fontId="34" fillId="0" borderId="0" xfId="57" applyFont="1" applyAlignment="1">
      <alignment horizontal="center"/>
      <protection/>
    </xf>
    <xf numFmtId="0" fontId="32" fillId="0" borderId="46" xfId="57" applyFont="1" applyBorder="1" applyAlignment="1">
      <alignment horizontal="center"/>
      <protection/>
    </xf>
    <xf numFmtId="1" fontId="32" fillId="0" borderId="15" xfId="57" applyNumberFormat="1" applyFont="1" applyBorder="1" applyAlignment="1">
      <alignment horizontal="center" vertical="center" textRotation="90" wrapText="1"/>
      <protection/>
    </xf>
    <xf numFmtId="177" fontId="7" fillId="0" borderId="41" xfId="0" applyNumberFormat="1" applyFont="1" applyBorder="1" applyAlignment="1">
      <alignment horizontal="right" vertical="center"/>
    </xf>
    <xf numFmtId="0" fontId="2" fillId="35" borderId="34" xfId="0" applyFont="1" applyFill="1" applyBorder="1" applyAlignment="1">
      <alignment horizontal="right" vertical="center"/>
    </xf>
    <xf numFmtId="0" fontId="7" fillId="35" borderId="15" xfId="57" applyFont="1" applyFill="1" applyBorder="1" applyAlignment="1">
      <alignment vertical="center" wrapText="1"/>
      <protection/>
    </xf>
    <xf numFmtId="1" fontId="11" fillId="0" borderId="15" xfId="57" applyNumberFormat="1" applyFont="1" applyBorder="1">
      <alignment/>
      <protection/>
    </xf>
    <xf numFmtId="0" fontId="35" fillId="0" borderId="15" xfId="57" applyNumberFormat="1" applyFont="1" applyBorder="1" applyAlignment="1">
      <alignment horizontal="center"/>
      <protection/>
    </xf>
    <xf numFmtId="0" fontId="35" fillId="35" borderId="15" xfId="57" applyNumberFormat="1" applyFont="1" applyFill="1" applyBorder="1" applyAlignment="1">
      <alignment horizontal="center"/>
      <protection/>
    </xf>
    <xf numFmtId="0" fontId="35" fillId="0" borderId="15" xfId="57" applyNumberFormat="1" applyFont="1" applyBorder="1">
      <alignment/>
      <protection/>
    </xf>
    <xf numFmtId="177" fontId="7" fillId="0" borderId="32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0" fontId="7" fillId="35" borderId="34" xfId="57" applyFont="1" applyFill="1" applyBorder="1" applyAlignment="1">
      <alignment vertical="center" wrapText="1"/>
      <protection/>
    </xf>
    <xf numFmtId="0" fontId="35" fillId="0" borderId="0" xfId="57" applyFont="1">
      <alignment/>
      <protection/>
    </xf>
    <xf numFmtId="177" fontId="7" fillId="0" borderId="32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0" fontId="2" fillId="0" borderId="32" xfId="53" applyFont="1" applyFill="1" applyBorder="1" applyAlignment="1">
      <alignment vertical="center" wrapText="1"/>
      <protection/>
    </xf>
    <xf numFmtId="178" fontId="2" fillId="0" borderId="35" xfId="0" applyNumberFormat="1" applyFont="1" applyBorder="1" applyAlignment="1">
      <alignment horizontal="right" vertical="center"/>
    </xf>
    <xf numFmtId="0" fontId="2" fillId="35" borderId="35" xfId="53" applyFont="1" applyFill="1" applyBorder="1" applyAlignment="1">
      <alignment horizontal="left" vertical="center" wrapText="1"/>
      <protection/>
    </xf>
    <xf numFmtId="178" fontId="2" fillId="0" borderId="15" xfId="0" applyNumberFormat="1" applyFont="1" applyBorder="1" applyAlignment="1">
      <alignment horizontal="right" vertical="center"/>
    </xf>
    <xf numFmtId="0" fontId="2" fillId="35" borderId="15" xfId="57" applyFont="1" applyFill="1" applyBorder="1" applyAlignment="1">
      <alignment vertical="center" wrapText="1"/>
      <protection/>
    </xf>
    <xf numFmtId="0" fontId="4" fillId="35" borderId="15" xfId="0" applyFont="1" applyFill="1" applyBorder="1" applyAlignment="1">
      <alignment vertical="center" wrapText="1"/>
    </xf>
    <xf numFmtId="172" fontId="11" fillId="0" borderId="15" xfId="69" applyNumberFormat="1" applyFont="1" applyBorder="1" applyAlignment="1">
      <alignment horizontal="right"/>
      <protection/>
    </xf>
    <xf numFmtId="178" fontId="2" fillId="0" borderId="15" xfId="0" applyNumberFormat="1" applyFont="1" applyFill="1" applyBorder="1" applyAlignment="1">
      <alignment horizontal="right" vertical="center"/>
    </xf>
    <xf numFmtId="0" fontId="39" fillId="0" borderId="0" xfId="57" applyFont="1" applyFill="1">
      <alignment/>
      <protection/>
    </xf>
    <xf numFmtId="1" fontId="39" fillId="0" borderId="0" xfId="57" applyNumberFormat="1" applyFont="1" applyFill="1">
      <alignment/>
      <protection/>
    </xf>
    <xf numFmtId="172" fontId="40" fillId="35" borderId="0" xfId="57" applyNumberFormat="1" applyFont="1" applyFill="1">
      <alignment/>
      <protection/>
    </xf>
    <xf numFmtId="172" fontId="35" fillId="0" borderId="0" xfId="57" applyNumberFormat="1" applyFont="1">
      <alignment/>
      <protection/>
    </xf>
    <xf numFmtId="0" fontId="40" fillId="35" borderId="0" xfId="57" applyFont="1" applyFill="1">
      <alignment/>
      <protection/>
    </xf>
    <xf numFmtId="0" fontId="40" fillId="35" borderId="0" xfId="57" applyFont="1" applyFill="1" applyAlignment="1">
      <alignment wrapText="1"/>
      <protection/>
    </xf>
    <xf numFmtId="1" fontId="10" fillId="0" borderId="0" xfId="57" applyNumberFormat="1" applyFont="1">
      <alignment/>
      <protection/>
    </xf>
    <xf numFmtId="0" fontId="10" fillId="0" borderId="0" xfId="69" applyFont="1">
      <alignment/>
      <protection/>
    </xf>
    <xf numFmtId="0" fontId="25" fillId="0" borderId="0" xfId="69" applyFont="1" applyAlignment="1">
      <alignment horizontal="center"/>
      <protection/>
    </xf>
    <xf numFmtId="0" fontId="41" fillId="0" borderId="0" xfId="69" applyFont="1" applyAlignment="1">
      <alignment horizontal="center"/>
      <protection/>
    </xf>
    <xf numFmtId="0" fontId="42" fillId="0" borderId="0" xfId="69" applyFont="1" applyFill="1">
      <alignment/>
      <protection/>
    </xf>
    <xf numFmtId="0" fontId="42" fillId="0" borderId="0" xfId="69" applyFont="1">
      <alignment/>
      <protection/>
    </xf>
    <xf numFmtId="0" fontId="43" fillId="0" borderId="0" xfId="69" applyFont="1" applyAlignment="1">
      <alignment/>
      <protection/>
    </xf>
    <xf numFmtId="0" fontId="44" fillId="0" borderId="0" xfId="69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45" fillId="0" borderId="0" xfId="57" applyFont="1" applyFill="1" applyAlignment="1">
      <alignment horizontal="center"/>
      <protection/>
    </xf>
    <xf numFmtId="0" fontId="43" fillId="0" borderId="0" xfId="57" applyFont="1" applyAlignment="1">
      <alignment/>
      <protection/>
    </xf>
    <xf numFmtId="0" fontId="46" fillId="0" borderId="0" xfId="57" applyFont="1" applyAlignment="1">
      <alignment horizontal="right"/>
      <protection/>
    </xf>
    <xf numFmtId="0" fontId="43" fillId="0" borderId="0" xfId="57" applyFont="1">
      <alignment/>
      <protection/>
    </xf>
    <xf numFmtId="0" fontId="2" fillId="0" borderId="0" xfId="0" applyFont="1" applyFill="1" applyAlignment="1">
      <alignment/>
    </xf>
    <xf numFmtId="0" fontId="29" fillId="0" borderId="0" xfId="69" applyFont="1">
      <alignment/>
      <protection/>
    </xf>
    <xf numFmtId="0" fontId="41" fillId="0" borderId="0" xfId="69" applyFont="1" applyBorder="1" applyAlignment="1">
      <alignment horizontal="left"/>
      <protection/>
    </xf>
    <xf numFmtId="0" fontId="41" fillId="0" borderId="0" xfId="69" applyFont="1" applyAlignment="1">
      <alignment horizontal="center"/>
      <protection/>
    </xf>
    <xf numFmtId="0" fontId="46" fillId="0" borderId="46" xfId="69" applyFont="1" applyBorder="1" applyAlignment="1">
      <alignment horizontal="center"/>
      <protection/>
    </xf>
    <xf numFmtId="0" fontId="10" fillId="0" borderId="15" xfId="69" applyFont="1" applyBorder="1" applyAlignment="1">
      <alignment horizontal="center" wrapText="1"/>
      <protection/>
    </xf>
    <xf numFmtId="0" fontId="30" fillId="0" borderId="32" xfId="69" applyFont="1" applyBorder="1" applyAlignment="1">
      <alignment horizontal="center" vertical="center" wrapText="1"/>
      <protection/>
    </xf>
    <xf numFmtId="0" fontId="31" fillId="0" borderId="15" xfId="69" applyFont="1" applyBorder="1" applyAlignment="1">
      <alignment horizontal="center" vertical="center" textRotation="90" wrapText="1"/>
      <protection/>
    </xf>
    <xf numFmtId="0" fontId="46" fillId="0" borderId="15" xfId="69" applyFont="1" applyBorder="1" applyAlignment="1">
      <alignment horizontal="center" vertical="center" textRotation="90" wrapText="1"/>
      <protection/>
    </xf>
    <xf numFmtId="0" fontId="46" fillId="0" borderId="15" xfId="69" applyFont="1" applyFill="1" applyBorder="1" applyAlignment="1">
      <alignment horizontal="center" vertical="center" textRotation="90" wrapText="1"/>
      <protection/>
    </xf>
    <xf numFmtId="0" fontId="47" fillId="0" borderId="15" xfId="69" applyFont="1" applyBorder="1" applyAlignment="1">
      <alignment horizontal="center" vertical="center" textRotation="90" wrapText="1"/>
      <protection/>
    </xf>
    <xf numFmtId="0" fontId="7" fillId="35" borderId="15" xfId="69" applyFont="1" applyFill="1" applyBorder="1" applyAlignment="1">
      <alignment vertical="center" wrapText="1"/>
      <protection/>
    </xf>
    <xf numFmtId="0" fontId="11" fillId="0" borderId="15" xfId="69" applyFont="1" applyBorder="1">
      <alignment/>
      <protection/>
    </xf>
    <xf numFmtId="0" fontId="43" fillId="0" borderId="15" xfId="69" applyNumberFormat="1" applyFont="1" applyBorder="1" applyAlignment="1">
      <alignment horizontal="center"/>
      <protection/>
    </xf>
    <xf numFmtId="0" fontId="43" fillId="35" borderId="15" xfId="69" applyNumberFormat="1" applyFont="1" applyFill="1" applyBorder="1" applyAlignment="1">
      <alignment horizontal="center"/>
      <protection/>
    </xf>
    <xf numFmtId="0" fontId="43" fillId="0" borderId="15" xfId="69" applyNumberFormat="1" applyFont="1" applyFill="1" applyBorder="1" applyAlignment="1">
      <alignment horizontal="center"/>
      <protection/>
    </xf>
    <xf numFmtId="0" fontId="43" fillId="0" borderId="15" xfId="69" applyNumberFormat="1" applyFont="1" applyBorder="1">
      <alignment/>
      <protection/>
    </xf>
    <xf numFmtId="0" fontId="7" fillId="35" borderId="34" xfId="69" applyFont="1" applyFill="1" applyBorder="1" applyAlignment="1">
      <alignment vertical="center" wrapText="1"/>
      <protection/>
    </xf>
    <xf numFmtId="0" fontId="26" fillId="0" borderId="15" xfId="69" applyFont="1" applyBorder="1" applyAlignment="1">
      <alignment horizontal="left" vertical="center" wrapText="1"/>
      <protection/>
    </xf>
    <xf numFmtId="0" fontId="11" fillId="35" borderId="15" xfId="69" applyFont="1" applyFill="1" applyBorder="1">
      <alignment/>
      <protection/>
    </xf>
    <xf numFmtId="172" fontId="43" fillId="35" borderId="15" xfId="69" applyNumberFormat="1" applyFont="1" applyFill="1" applyBorder="1" applyAlignment="1">
      <alignment horizontal="center"/>
      <protection/>
    </xf>
    <xf numFmtId="172" fontId="43" fillId="35" borderId="15" xfId="69" applyNumberFormat="1" applyFont="1" applyFill="1" applyBorder="1" applyAlignment="1">
      <alignment horizontal="center"/>
      <protection/>
    </xf>
    <xf numFmtId="172" fontId="41" fillId="0" borderId="15" xfId="69" applyNumberFormat="1" applyFont="1" applyFill="1" applyBorder="1" applyAlignment="1">
      <alignment horizontal="center"/>
      <protection/>
    </xf>
    <xf numFmtId="172" fontId="41" fillId="35" borderId="15" xfId="69" applyNumberFormat="1" applyFont="1" applyFill="1" applyBorder="1" applyAlignment="1">
      <alignment horizontal="center"/>
      <protection/>
    </xf>
    <xf numFmtId="173" fontId="43" fillId="35" borderId="15" xfId="69" applyNumberFormat="1" applyFont="1" applyFill="1" applyBorder="1" applyAlignment="1">
      <alignment horizontal="center"/>
      <protection/>
    </xf>
    <xf numFmtId="172" fontId="43" fillId="35" borderId="15" xfId="69" applyNumberFormat="1" applyFont="1" applyFill="1" applyBorder="1">
      <alignment/>
      <protection/>
    </xf>
    <xf numFmtId="172" fontId="29" fillId="0" borderId="15" xfId="69" applyNumberFormat="1" applyFont="1" applyFill="1" applyBorder="1" applyAlignment="1">
      <alignment horizontal="right"/>
      <protection/>
    </xf>
    <xf numFmtId="172" fontId="41" fillId="0" borderId="15" xfId="69" applyNumberFormat="1" applyFont="1" applyFill="1" applyBorder="1" applyAlignment="1">
      <alignment horizontal="right"/>
      <protection/>
    </xf>
    <xf numFmtId="0" fontId="10" fillId="0" borderId="0" xfId="69" applyFont="1" applyFill="1">
      <alignment/>
      <protection/>
    </xf>
    <xf numFmtId="172" fontId="11" fillId="0" borderId="15" xfId="69" applyNumberFormat="1" applyFont="1" applyBorder="1" applyAlignment="1">
      <alignment horizontal="left" vertical="center" wrapText="1"/>
      <protection/>
    </xf>
    <xf numFmtId="172" fontId="11" fillId="35" borderId="15" xfId="69" applyNumberFormat="1" applyFont="1" applyFill="1" applyBorder="1" applyAlignment="1">
      <alignment horizontal="right"/>
      <protection/>
    </xf>
    <xf numFmtId="172" fontId="43" fillId="35" borderId="15" xfId="69" applyNumberFormat="1" applyFont="1" applyFill="1" applyBorder="1" applyAlignment="1">
      <alignment horizontal="right"/>
      <protection/>
    </xf>
    <xf numFmtId="172" fontId="43" fillId="0" borderId="15" xfId="69" applyNumberFormat="1" applyFont="1" applyFill="1" applyBorder="1" applyAlignment="1">
      <alignment horizontal="right"/>
      <protection/>
    </xf>
    <xf numFmtId="172" fontId="11" fillId="0" borderId="15" xfId="69" applyNumberFormat="1" applyFont="1" applyBorder="1" applyAlignment="1">
      <alignment horizontal="left" wrapText="1"/>
      <protection/>
    </xf>
    <xf numFmtId="0" fontId="2" fillId="35" borderId="15" xfId="69" applyFont="1" applyFill="1" applyBorder="1" applyAlignment="1">
      <alignment vertical="center" wrapText="1"/>
      <protection/>
    </xf>
    <xf numFmtId="0" fontId="10" fillId="0" borderId="15" xfId="69" applyFont="1" applyBorder="1">
      <alignment/>
      <protection/>
    </xf>
    <xf numFmtId="0" fontId="43" fillId="0" borderId="15" xfId="69" applyFont="1" applyBorder="1">
      <alignment/>
      <protection/>
    </xf>
    <xf numFmtId="0" fontId="43" fillId="0" borderId="15" xfId="69" applyFont="1" applyFill="1" applyBorder="1">
      <alignment/>
      <protection/>
    </xf>
    <xf numFmtId="0" fontId="4" fillId="0" borderId="15" xfId="0" applyFont="1" applyFill="1" applyBorder="1" applyAlignment="1">
      <alignment vertical="center" wrapText="1"/>
    </xf>
    <xf numFmtId="172" fontId="11" fillId="0" borderId="15" xfId="69" applyNumberFormat="1" applyFont="1" applyFill="1" applyBorder="1" applyAlignment="1">
      <alignment horizontal="right"/>
      <protection/>
    </xf>
    <xf numFmtId="172" fontId="43" fillId="0" borderId="15" xfId="69" applyNumberFormat="1" applyFont="1" applyFill="1" applyBorder="1">
      <alignment/>
      <protection/>
    </xf>
    <xf numFmtId="172" fontId="11" fillId="0" borderId="15" xfId="69" applyNumberFormat="1" applyFont="1" applyBorder="1" applyAlignment="1">
      <alignment horizontal="left"/>
      <protection/>
    </xf>
    <xf numFmtId="172" fontId="26" fillId="0" borderId="15" xfId="69" applyNumberFormat="1" applyFont="1" applyBorder="1" applyAlignment="1">
      <alignment horizontal="left" vertical="center" wrapText="1"/>
      <protection/>
    </xf>
    <xf numFmtId="172" fontId="11" fillId="0" borderId="15" xfId="69" applyNumberFormat="1" applyFont="1" applyFill="1" applyBorder="1" applyAlignment="1">
      <alignment horizontal="left" vertical="center" wrapText="1"/>
      <protection/>
    </xf>
    <xf numFmtId="172" fontId="10" fillId="0" borderId="0" xfId="69" applyNumberFormat="1" applyFont="1">
      <alignment/>
      <protection/>
    </xf>
    <xf numFmtId="172" fontId="26" fillId="0" borderId="15" xfId="69" applyNumberFormat="1" applyFont="1" applyBorder="1" applyAlignment="1">
      <alignment horizontal="left" wrapText="1"/>
      <protection/>
    </xf>
    <xf numFmtId="0" fontId="43" fillId="0" borderId="0" xfId="69" applyFont="1">
      <alignment/>
      <protection/>
    </xf>
    <xf numFmtId="0" fontId="43" fillId="0" borderId="0" xfId="69" applyFont="1" applyFill="1">
      <alignment/>
      <protection/>
    </xf>
    <xf numFmtId="172" fontId="10" fillId="0" borderId="0" xfId="69" applyNumberFormat="1" applyFont="1" applyFill="1">
      <alignment/>
      <protection/>
    </xf>
    <xf numFmtId="172" fontId="11" fillId="35" borderId="32" xfId="69" applyNumberFormat="1" applyFont="1" applyFill="1" applyBorder="1" applyAlignment="1">
      <alignment horizontal="right"/>
      <protection/>
    </xf>
    <xf numFmtId="172" fontId="43" fillId="35" borderId="32" xfId="69" applyNumberFormat="1" applyFont="1" applyFill="1" applyBorder="1" applyAlignment="1">
      <alignment horizontal="right"/>
      <protection/>
    </xf>
    <xf numFmtId="172" fontId="43" fillId="35" borderId="32" xfId="69" applyNumberFormat="1" applyFont="1" applyFill="1" applyBorder="1">
      <alignment/>
      <protection/>
    </xf>
    <xf numFmtId="172" fontId="43" fillId="0" borderId="15" xfId="69" applyNumberFormat="1" applyFont="1" applyBorder="1">
      <alignment/>
      <protection/>
    </xf>
    <xf numFmtId="0" fontId="39" fillId="0" borderId="0" xfId="69" applyFont="1" applyFill="1">
      <alignment/>
      <protection/>
    </xf>
    <xf numFmtId="172" fontId="39" fillId="0" borderId="0" xfId="69" applyNumberFormat="1" applyFont="1" applyFill="1">
      <alignment/>
      <protection/>
    </xf>
    <xf numFmtId="172" fontId="48" fillId="0" borderId="0" xfId="69" applyNumberFormat="1" applyFont="1" applyFill="1">
      <alignment/>
      <protection/>
    </xf>
    <xf numFmtId="172" fontId="43" fillId="35" borderId="0" xfId="69" applyNumberFormat="1" applyFont="1" applyFill="1">
      <alignment/>
      <protection/>
    </xf>
    <xf numFmtId="172" fontId="43" fillId="0" borderId="0" xfId="69" applyNumberFormat="1" applyFont="1">
      <alignment/>
      <protection/>
    </xf>
    <xf numFmtId="172" fontId="43" fillId="0" borderId="0" xfId="69" applyNumberFormat="1" applyFont="1" applyFill="1">
      <alignment/>
      <protection/>
    </xf>
    <xf numFmtId="0" fontId="48" fillId="0" borderId="0" xfId="69" applyFont="1" applyFill="1">
      <alignment/>
      <protection/>
    </xf>
    <xf numFmtId="0" fontId="48" fillId="0" borderId="0" xfId="69" applyFont="1" applyFill="1" applyAlignment="1">
      <alignment wrapText="1"/>
      <protection/>
    </xf>
    <xf numFmtId="0" fontId="43" fillId="35" borderId="0" xfId="69" applyFont="1" applyFill="1">
      <alignment/>
      <protection/>
    </xf>
    <xf numFmtId="0" fontId="48" fillId="35" borderId="0" xfId="69" applyFont="1" applyFill="1">
      <alignment/>
      <protection/>
    </xf>
    <xf numFmtId="177" fontId="7" fillId="0" borderId="32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2" fontId="15" fillId="0" borderId="19" xfId="0" applyNumberFormat="1" applyFont="1" applyBorder="1" applyAlignment="1">
      <alignment horizontal="center" vertical="center"/>
    </xf>
    <xf numFmtId="1" fontId="11" fillId="35" borderId="15" xfId="57" applyNumberFormat="1" applyFont="1" applyFill="1" applyBorder="1" applyAlignment="1">
      <alignment horizontal="center" vertical="center"/>
      <protection/>
    </xf>
    <xf numFmtId="172" fontId="35" fillId="35" borderId="15" xfId="57" applyNumberFormat="1" applyFont="1" applyFill="1" applyBorder="1" applyAlignment="1">
      <alignment horizontal="center" vertical="center"/>
      <protection/>
    </xf>
    <xf numFmtId="173" fontId="35" fillId="35" borderId="15" xfId="5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172" fontId="10" fillId="0" borderId="0" xfId="57" applyNumberFormat="1" applyFont="1" applyAlignment="1">
      <alignment horizontal="center" vertical="center"/>
      <protection/>
    </xf>
    <xf numFmtId="177" fontId="7" fillId="37" borderId="32" xfId="0" applyNumberFormat="1" applyFont="1" applyFill="1" applyBorder="1" applyAlignment="1">
      <alignment horizontal="right" vertical="center"/>
    </xf>
    <xf numFmtId="178" fontId="7" fillId="37" borderId="15" xfId="0" applyNumberFormat="1" applyFont="1" applyFill="1" applyBorder="1" applyAlignment="1">
      <alignment horizontal="right" vertical="center"/>
    </xf>
    <xf numFmtId="172" fontId="26" fillId="37" borderId="15" xfId="57" applyNumberFormat="1" applyFont="1" applyFill="1" applyBorder="1" applyAlignment="1">
      <alignment horizontal="left" vertical="center" wrapText="1"/>
      <protection/>
    </xf>
    <xf numFmtId="0" fontId="5" fillId="37" borderId="32" xfId="56" applyFont="1" applyFill="1" applyBorder="1" applyAlignment="1">
      <alignment horizontal="center" vertical="center" wrapText="1"/>
      <protection/>
    </xf>
    <xf numFmtId="177" fontId="7" fillId="37" borderId="32" xfId="0" applyNumberFormat="1" applyFont="1" applyFill="1" applyBorder="1" applyAlignment="1">
      <alignment horizontal="center" vertical="center"/>
    </xf>
    <xf numFmtId="178" fontId="7" fillId="37" borderId="15" xfId="0" applyNumberFormat="1" applyFont="1" applyFill="1" applyBorder="1" applyAlignment="1">
      <alignment horizontal="center" vertical="center"/>
    </xf>
    <xf numFmtId="0" fontId="5" fillId="37" borderId="15" xfId="56" applyFont="1" applyFill="1" applyBorder="1" applyAlignment="1">
      <alignment horizontal="center" vertical="center" wrapText="1"/>
      <protection/>
    </xf>
    <xf numFmtId="172" fontId="26" fillId="37" borderId="15" xfId="57" applyNumberFormat="1" applyFont="1" applyFill="1" applyBorder="1" applyAlignment="1">
      <alignment horizontal="center" vertical="center"/>
      <protection/>
    </xf>
    <xf numFmtId="1" fontId="26" fillId="37" borderId="15" xfId="57" applyNumberFormat="1" applyFont="1" applyFill="1" applyBorder="1" applyAlignment="1">
      <alignment horizontal="center" vertical="center"/>
      <protection/>
    </xf>
    <xf numFmtId="172" fontId="34" fillId="37" borderId="15" xfId="57" applyNumberFormat="1" applyFont="1" applyFill="1" applyBorder="1" applyAlignment="1">
      <alignment horizontal="center" vertical="center"/>
      <protection/>
    </xf>
    <xf numFmtId="0" fontId="29" fillId="37" borderId="0" xfId="57" applyFont="1" applyFill="1" applyAlignment="1">
      <alignment horizontal="center" vertical="center"/>
      <protection/>
    </xf>
    <xf numFmtId="0" fontId="4" fillId="35" borderId="15" xfId="0" applyFont="1" applyFill="1" applyBorder="1" applyAlignment="1">
      <alignment horizontal="left" vertical="center" wrapText="1"/>
    </xf>
    <xf numFmtId="1" fontId="11" fillId="35" borderId="15" xfId="57" applyNumberFormat="1" applyFont="1" applyFill="1" applyBorder="1" applyAlignment="1">
      <alignment horizontal="right" vertical="center"/>
      <protection/>
    </xf>
    <xf numFmtId="172" fontId="35" fillId="35" borderId="15" xfId="57" applyNumberFormat="1" applyFont="1" applyFill="1" applyBorder="1" applyAlignment="1">
      <alignment horizontal="right" vertical="center"/>
      <protection/>
    </xf>
    <xf numFmtId="172" fontId="35" fillId="35" borderId="15" xfId="57" applyNumberFormat="1" applyFont="1" applyFill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5" fillId="0" borderId="32" xfId="56" applyFont="1" applyFill="1" applyBorder="1" applyAlignment="1">
      <alignment horizontal="left" vertical="center" wrapText="1"/>
      <protection/>
    </xf>
    <xf numFmtId="0" fontId="5" fillId="37" borderId="32" xfId="56" applyFont="1" applyFill="1" applyBorder="1" applyAlignment="1">
      <alignment horizontal="left" vertical="center" wrapText="1"/>
      <protection/>
    </xf>
    <xf numFmtId="1" fontId="26" fillId="37" borderId="15" xfId="57" applyNumberFormat="1" applyFont="1" applyFill="1" applyBorder="1" applyAlignment="1">
      <alignment horizontal="right" vertical="center"/>
      <protection/>
    </xf>
    <xf numFmtId="172" fontId="34" fillId="37" borderId="15" xfId="57" applyNumberFormat="1" applyFont="1" applyFill="1" applyBorder="1" applyAlignment="1">
      <alignment horizontal="right" vertical="center"/>
      <protection/>
    </xf>
    <xf numFmtId="0" fontId="29" fillId="37" borderId="0" xfId="57" applyFont="1" applyFill="1" applyAlignment="1">
      <alignment vertical="center"/>
      <protection/>
    </xf>
    <xf numFmtId="0" fontId="29" fillId="37" borderId="15" xfId="57" applyFont="1" applyFill="1" applyBorder="1" applyAlignment="1">
      <alignment vertical="center"/>
      <protection/>
    </xf>
    <xf numFmtId="1" fontId="29" fillId="37" borderId="15" xfId="57" applyNumberFormat="1" applyFont="1" applyFill="1" applyBorder="1" applyAlignment="1">
      <alignment vertical="center"/>
      <protection/>
    </xf>
    <xf numFmtId="172" fontId="34" fillId="37" borderId="15" xfId="57" applyNumberFormat="1" applyFont="1" applyFill="1" applyBorder="1" applyAlignment="1">
      <alignment vertical="center"/>
      <protection/>
    </xf>
    <xf numFmtId="0" fontId="49" fillId="37" borderId="15" xfId="57" applyFont="1" applyFill="1" applyBorder="1" applyAlignment="1">
      <alignment vertical="center"/>
      <protection/>
    </xf>
    <xf numFmtId="1" fontId="49" fillId="37" borderId="15" xfId="57" applyNumberFormat="1" applyFont="1" applyFill="1" applyBorder="1" applyAlignment="1">
      <alignment vertical="center"/>
      <protection/>
    </xf>
    <xf numFmtId="172" fontId="49" fillId="37" borderId="15" xfId="57" applyNumberFormat="1" applyFont="1" applyFill="1" applyBorder="1" applyAlignment="1">
      <alignment vertical="center"/>
      <protection/>
    </xf>
    <xf numFmtId="0" fontId="49" fillId="37" borderId="0" xfId="57" applyFont="1" applyFill="1" applyAlignment="1">
      <alignment vertical="center"/>
      <protection/>
    </xf>
    <xf numFmtId="1" fontId="11" fillId="35" borderId="15" xfId="57" applyNumberFormat="1" applyFont="1" applyFill="1" applyBorder="1" applyAlignment="1">
      <alignment vertical="center"/>
      <protection/>
    </xf>
    <xf numFmtId="172" fontId="35" fillId="35" borderId="15" xfId="57" applyNumberFormat="1" applyFont="1" applyFill="1" applyBorder="1" applyAlignment="1">
      <alignment horizontal="center" vertical="center"/>
      <protection/>
    </xf>
    <xf numFmtId="172" fontId="34" fillId="35" borderId="15" xfId="57" applyNumberFormat="1" applyFont="1" applyFill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2" fontId="29" fillId="0" borderId="15" xfId="57" applyNumberFormat="1" applyFont="1" applyFill="1" applyBorder="1" applyAlignment="1">
      <alignment horizontal="right" vertical="center"/>
      <protection/>
    </xf>
    <xf numFmtId="1" fontId="10" fillId="0" borderId="15" xfId="57" applyNumberFormat="1" applyFont="1" applyFill="1" applyBorder="1" applyAlignment="1">
      <alignment horizontal="right" vertical="center"/>
      <protection/>
    </xf>
    <xf numFmtId="172" fontId="35" fillId="0" borderId="15" xfId="57" applyNumberFormat="1" applyFont="1" applyFill="1" applyBorder="1" applyAlignment="1">
      <alignment horizontal="right" vertical="center"/>
      <protection/>
    </xf>
    <xf numFmtId="172" fontId="34" fillId="0" borderId="15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172" fontId="10" fillId="0" borderId="0" xfId="57" applyNumberFormat="1" applyFont="1" applyFill="1" applyAlignment="1">
      <alignment vertical="center"/>
      <protection/>
    </xf>
    <xf numFmtId="172" fontId="10" fillId="0" borderId="0" xfId="57" applyNumberFormat="1" applyFont="1" applyAlignment="1">
      <alignment vertical="center"/>
      <protection/>
    </xf>
    <xf numFmtId="172" fontId="11" fillId="0" borderId="15" xfId="57" applyNumberFormat="1" applyFont="1" applyBorder="1" applyAlignment="1">
      <alignment horizontal="right" vertical="center"/>
      <protection/>
    </xf>
    <xf numFmtId="172" fontId="11" fillId="0" borderId="15" xfId="57" applyNumberFormat="1" applyFont="1" applyBorder="1" applyAlignment="1">
      <alignment horizontal="left" vertical="center"/>
      <protection/>
    </xf>
    <xf numFmtId="0" fontId="29" fillId="0" borderId="0" xfId="57" applyFont="1" applyFill="1" applyAlignment="1">
      <alignment vertical="center"/>
      <protection/>
    </xf>
    <xf numFmtId="172" fontId="29" fillId="37" borderId="0" xfId="57" applyNumberFormat="1" applyFont="1" applyFill="1" applyAlignment="1">
      <alignment vertical="center"/>
      <protection/>
    </xf>
    <xf numFmtId="1" fontId="11" fillId="35" borderId="32" xfId="57" applyNumberFormat="1" applyFont="1" applyFill="1" applyBorder="1" applyAlignment="1">
      <alignment horizontal="right" vertical="center"/>
      <protection/>
    </xf>
    <xf numFmtId="172" fontId="35" fillId="35" borderId="32" xfId="57" applyNumberFormat="1" applyFont="1" applyFill="1" applyBorder="1" applyAlignment="1">
      <alignment horizontal="right" vertical="center"/>
      <protection/>
    </xf>
    <xf numFmtId="0" fontId="110" fillId="0" borderId="0" xfId="0" applyFont="1" applyFill="1" applyAlignment="1">
      <alignment horizontal="left"/>
    </xf>
    <xf numFmtId="0" fontId="111" fillId="0" borderId="0" xfId="0" applyFont="1" applyFill="1" applyAlignment="1">
      <alignment horizontal="left"/>
    </xf>
    <xf numFmtId="0" fontId="111" fillId="0" borderId="0" xfId="0" applyFont="1" applyFill="1" applyAlignment="1">
      <alignment horizontal="center"/>
    </xf>
    <xf numFmtId="174" fontId="111" fillId="0" borderId="0" xfId="93" applyNumberFormat="1" applyFont="1" applyFill="1" applyAlignment="1">
      <alignment vertical="center"/>
    </xf>
    <xf numFmtId="179" fontId="111" fillId="0" borderId="0" xfId="93" applyNumberFormat="1" applyFont="1" applyFill="1" applyAlignment="1">
      <alignment vertical="center"/>
    </xf>
    <xf numFmtId="43" fontId="111" fillId="0" borderId="0" xfId="93" applyFont="1" applyFill="1" applyAlignment="1">
      <alignment horizontal="center"/>
    </xf>
    <xf numFmtId="174" fontId="111" fillId="0" borderId="0" xfId="0" applyNumberFormat="1" applyFont="1" applyFill="1" applyAlignment="1">
      <alignment horizontal="center"/>
    </xf>
    <xf numFmtId="43" fontId="111" fillId="0" borderId="0" xfId="0" applyNumberFormat="1" applyFont="1" applyFill="1" applyAlignment="1">
      <alignment horizontal="center"/>
    </xf>
    <xf numFmtId="172" fontId="111" fillId="0" borderId="0" xfId="0" applyNumberFormat="1" applyFont="1" applyFill="1" applyAlignment="1">
      <alignment horizontal="center"/>
    </xf>
    <xf numFmtId="176" fontId="111" fillId="0" borderId="0" xfId="0" applyNumberFormat="1" applyFont="1" applyFill="1" applyAlignment="1">
      <alignment horizontal="center"/>
    </xf>
    <xf numFmtId="174" fontId="4" fillId="38" borderId="32" xfId="93" applyNumberFormat="1" applyFont="1" applyFill="1" applyBorder="1" applyAlignment="1">
      <alignment vertical="center"/>
    </xf>
    <xf numFmtId="172" fontId="50" fillId="0" borderId="15" xfId="56" applyNumberFormat="1" applyFont="1" applyFill="1" applyBorder="1" applyAlignment="1">
      <alignment horizontal="center" vertical="center" wrapText="1"/>
      <protection/>
    </xf>
    <xf numFmtId="176" fontId="50" fillId="0" borderId="15" xfId="56" applyNumberFormat="1" applyFont="1" applyFill="1" applyBorder="1" applyAlignment="1">
      <alignment horizontal="center" vertical="center" wrapText="1"/>
      <protection/>
    </xf>
    <xf numFmtId="4" fontId="51" fillId="0" borderId="0" xfId="83" applyNumberFormat="1" applyFont="1">
      <alignment/>
      <protection/>
    </xf>
    <xf numFmtId="0" fontId="51" fillId="0" borderId="0" xfId="83" applyFont="1">
      <alignment/>
      <protection/>
    </xf>
    <xf numFmtId="172" fontId="7" fillId="0" borderId="42" xfId="0" applyNumberFormat="1" applyFont="1" applyBorder="1" applyAlignment="1">
      <alignment horizontal="right"/>
    </xf>
    <xf numFmtId="177" fontId="7" fillId="38" borderId="47" xfId="0" applyNumberFormat="1" applyFont="1" applyFill="1" applyBorder="1" applyAlignment="1">
      <alignment horizontal="center" vertical="center"/>
    </xf>
    <xf numFmtId="178" fontId="2" fillId="38" borderId="48" xfId="0" applyNumberFormat="1" applyFont="1" applyFill="1" applyBorder="1" applyAlignment="1">
      <alignment horizontal="center" vertical="center"/>
    </xf>
    <xf numFmtId="178" fontId="2" fillId="38" borderId="15" xfId="0" applyNumberFormat="1" applyFont="1" applyFill="1" applyBorder="1" applyAlignment="1">
      <alignment horizontal="center" vertical="center"/>
    </xf>
    <xf numFmtId="178" fontId="2" fillId="38" borderId="32" xfId="0" applyNumberFormat="1" applyFont="1" applyFill="1" applyBorder="1" applyAlignment="1">
      <alignment horizontal="center" vertical="center"/>
    </xf>
    <xf numFmtId="0" fontId="6" fillId="38" borderId="15" xfId="56" applyFont="1" applyFill="1" applyBorder="1" applyAlignment="1">
      <alignment horizontal="center" vertical="top" wrapText="1"/>
      <protection/>
    </xf>
    <xf numFmtId="0" fontId="6" fillId="39" borderId="49" xfId="56" applyFont="1" applyFill="1" applyBorder="1" applyAlignment="1">
      <alignment vertical="top" wrapText="1"/>
      <protection/>
    </xf>
    <xf numFmtId="0" fontId="6" fillId="39" borderId="33" xfId="56" applyFont="1" applyFill="1" applyBorder="1" applyAlignment="1">
      <alignment horizontal="left" vertical="top" wrapText="1"/>
      <protection/>
    </xf>
    <xf numFmtId="0" fontId="6" fillId="39" borderId="15" xfId="56" applyFont="1" applyFill="1" applyBorder="1" applyAlignment="1">
      <alignment horizontal="left" vertical="top" wrapText="1"/>
      <protection/>
    </xf>
    <xf numFmtId="0" fontId="6" fillId="39" borderId="15" xfId="56" applyFont="1" applyFill="1" applyBorder="1" applyAlignment="1">
      <alignment horizontal="center" vertical="top" wrapText="1"/>
      <protection/>
    </xf>
    <xf numFmtId="0" fontId="6" fillId="39" borderId="15" xfId="56" applyFont="1" applyFill="1" applyBorder="1" applyAlignment="1">
      <alignment horizontal="right" vertical="center" wrapText="1"/>
      <protection/>
    </xf>
    <xf numFmtId="0" fontId="52" fillId="38" borderId="50" xfId="83" applyFont="1" applyFill="1" applyBorder="1" applyAlignment="1">
      <alignment horizontal="center" vertical="center"/>
      <protection/>
    </xf>
    <xf numFmtId="0" fontId="52" fillId="38" borderId="49" xfId="83" applyFont="1" applyFill="1" applyBorder="1" applyAlignment="1">
      <alignment horizontal="center" vertical="center"/>
      <protection/>
    </xf>
    <xf numFmtId="0" fontId="6" fillId="39" borderId="15" xfId="56" applyFont="1" applyFill="1" applyBorder="1" applyAlignment="1">
      <alignment horizontal="right" vertical="center"/>
      <protection/>
    </xf>
    <xf numFmtId="0" fontId="6" fillId="39" borderId="35" xfId="56" applyFont="1" applyFill="1" applyBorder="1" applyAlignment="1">
      <alignment horizontal="right" vertical="center"/>
      <protection/>
    </xf>
    <xf numFmtId="0" fontId="52" fillId="0" borderId="0" xfId="0" applyFont="1" applyFill="1" applyAlignment="1">
      <alignment/>
    </xf>
    <xf numFmtId="0" fontId="4" fillId="38" borderId="48" xfId="56" applyFont="1" applyFill="1" applyBorder="1" applyAlignment="1">
      <alignment horizontal="center" vertical="center" wrapText="1"/>
      <protection/>
    </xf>
    <xf numFmtId="0" fontId="4" fillId="35" borderId="15" xfId="56" applyFont="1" applyFill="1" applyBorder="1" applyAlignment="1">
      <alignment horizontal="left" vertical="top" wrapText="1"/>
      <protection/>
    </xf>
    <xf numFmtId="0" fontId="112" fillId="0" borderId="15" xfId="0" applyFont="1" applyBorder="1" applyAlignment="1">
      <alignment horizontal="left" vertical="top" wrapText="1"/>
    </xf>
    <xf numFmtId="0" fontId="112" fillId="0" borderId="32" xfId="0" applyFont="1" applyBorder="1" applyAlignment="1">
      <alignment horizontal="left" vertical="top" wrapText="1"/>
    </xf>
    <xf numFmtId="0" fontId="4" fillId="35" borderId="15" xfId="56" applyFont="1" applyFill="1" applyBorder="1" applyAlignment="1">
      <alignment horizontal="center" vertical="center" wrapText="1"/>
      <protection/>
    </xf>
    <xf numFmtId="0" fontId="4" fillId="35" borderId="32" xfId="56" applyFont="1" applyFill="1" applyBorder="1" applyAlignment="1">
      <alignment horizontal="center" vertical="center" wrapText="1"/>
      <protection/>
    </xf>
    <xf numFmtId="0" fontId="4" fillId="35" borderId="51" xfId="56" applyFont="1" applyFill="1" applyBorder="1" applyAlignment="1">
      <alignment horizontal="center" vertical="center" wrapText="1"/>
      <protection/>
    </xf>
    <xf numFmtId="174" fontId="4" fillId="35" borderId="15" xfId="95" applyNumberFormat="1" applyFont="1" applyFill="1" applyBorder="1" applyAlignment="1">
      <alignment vertical="center"/>
    </xf>
    <xf numFmtId="174" fontId="4" fillId="35" borderId="35" xfId="95" applyNumberFormat="1" applyFont="1" applyFill="1" applyBorder="1" applyAlignment="1">
      <alignment vertical="center"/>
    </xf>
    <xf numFmtId="174" fontId="4" fillId="35" borderId="32" xfId="95" applyNumberFormat="1" applyFont="1" applyFill="1" applyBorder="1" applyAlignment="1">
      <alignment vertical="center"/>
    </xf>
    <xf numFmtId="172" fontId="21" fillId="35" borderId="34" xfId="56" applyNumberFormat="1" applyFont="1" applyFill="1" applyBorder="1" applyAlignment="1">
      <alignment vertical="top" wrapText="1"/>
      <protection/>
    </xf>
    <xf numFmtId="176" fontId="21" fillId="35" borderId="34" xfId="56" applyNumberFormat="1" applyFont="1" applyFill="1" applyBorder="1" applyAlignment="1">
      <alignment vertical="top" wrapText="1"/>
      <protection/>
    </xf>
    <xf numFmtId="174" fontId="6" fillId="39" borderId="15" xfId="95" applyNumberFormat="1" applyFont="1" applyFill="1" applyBorder="1" applyAlignment="1">
      <alignment vertical="center" wrapText="1"/>
    </xf>
    <xf numFmtId="0" fontId="4" fillId="38" borderId="48" xfId="56" applyFont="1" applyFill="1" applyBorder="1" applyAlignment="1">
      <alignment horizontal="left" vertical="center" wrapText="1"/>
      <protection/>
    </xf>
    <xf numFmtId="0" fontId="6" fillId="38" borderId="48" xfId="56" applyFont="1" applyFill="1" applyBorder="1" applyAlignment="1">
      <alignment horizontal="center" vertical="center" wrapText="1"/>
      <protection/>
    </xf>
    <xf numFmtId="0" fontId="6" fillId="38" borderId="52" xfId="56" applyFont="1" applyFill="1" applyBorder="1" applyAlignment="1">
      <alignment horizontal="center" vertical="center" wrapText="1"/>
      <protection/>
    </xf>
    <xf numFmtId="0" fontId="4" fillId="35" borderId="53" xfId="56" applyFont="1" applyFill="1" applyBorder="1" applyAlignment="1">
      <alignment horizontal="left" vertical="center" wrapText="1"/>
      <protection/>
    </xf>
    <xf numFmtId="173" fontId="4" fillId="35" borderId="15" xfId="56" applyNumberFormat="1" applyFont="1" applyFill="1" applyBorder="1" applyAlignment="1">
      <alignment horizontal="right" vertical="center" wrapText="1"/>
      <protection/>
    </xf>
    <xf numFmtId="181" fontId="4" fillId="35" borderId="15" xfId="56" applyNumberFormat="1" applyFont="1" applyFill="1" applyBorder="1" applyAlignment="1">
      <alignment horizontal="right" vertical="center" wrapText="1"/>
      <protection/>
    </xf>
    <xf numFmtId="3" fontId="4" fillId="35" borderId="15" xfId="56" applyNumberFormat="1" applyFont="1" applyFill="1" applyBorder="1" applyAlignment="1">
      <alignment horizontal="right" vertical="center" wrapText="1"/>
      <protection/>
    </xf>
    <xf numFmtId="0" fontId="112" fillId="0" borderId="53" xfId="0" applyFont="1" applyBorder="1" applyAlignment="1">
      <alignment vertical="top" wrapText="1"/>
    </xf>
    <xf numFmtId="0" fontId="4" fillId="35" borderId="51" xfId="56" applyFont="1" applyFill="1" applyBorder="1" applyAlignment="1">
      <alignment horizontal="left" vertical="center" wrapText="1"/>
      <protection/>
    </xf>
    <xf numFmtId="1" fontId="4" fillId="0" borderId="32" xfId="89" applyNumberFormat="1" applyFont="1" applyFill="1" applyBorder="1" applyAlignment="1">
      <alignment horizontal="center" vertical="center" wrapText="1"/>
    </xf>
    <xf numFmtId="1" fontId="4" fillId="0" borderId="32" xfId="56" applyNumberFormat="1" applyFont="1" applyFill="1" applyBorder="1" applyAlignment="1">
      <alignment horizontal="right" vertical="center" wrapText="1"/>
      <protection/>
    </xf>
    <xf numFmtId="0" fontId="53" fillId="38" borderId="53" xfId="0" applyFont="1" applyFill="1" applyBorder="1" applyAlignment="1">
      <alignment vertical="center" wrapText="1"/>
    </xf>
    <xf numFmtId="0" fontId="4" fillId="38" borderId="15" xfId="56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7" fontId="7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13" fillId="38" borderId="0" xfId="0" applyFont="1" applyFill="1" applyAlignment="1">
      <alignment/>
    </xf>
    <xf numFmtId="0" fontId="113" fillId="0" borderId="0" xfId="0" applyFont="1" applyAlignment="1">
      <alignment/>
    </xf>
    <xf numFmtId="0" fontId="113" fillId="38" borderId="0" xfId="0" applyFont="1" applyFill="1" applyBorder="1" applyAlignment="1">
      <alignment vertical="center" wrapText="1"/>
    </xf>
    <xf numFmtId="0" fontId="56" fillId="38" borderId="0" xfId="0" applyFont="1" applyFill="1" applyBorder="1" applyAlignment="1">
      <alignment vertical="center" wrapText="1"/>
    </xf>
    <xf numFmtId="0" fontId="55" fillId="38" borderId="0" xfId="0" applyFont="1" applyFill="1" applyBorder="1" applyAlignment="1">
      <alignment vertical="center" wrapText="1"/>
    </xf>
    <xf numFmtId="0" fontId="57" fillId="38" borderId="0" xfId="0" applyFont="1" applyFill="1" applyBorder="1" applyAlignment="1">
      <alignment vertical="center" wrapText="1"/>
    </xf>
    <xf numFmtId="0" fontId="58" fillId="38" borderId="0" xfId="0" applyFont="1" applyFill="1" applyBorder="1" applyAlignment="1">
      <alignment horizontal="left" vertical="top" wrapText="1"/>
    </xf>
    <xf numFmtId="0" fontId="113" fillId="38" borderId="0" xfId="0" applyFont="1" applyFill="1" applyBorder="1" applyAlignment="1">
      <alignment horizontal="left" wrapText="1"/>
    </xf>
    <xf numFmtId="0" fontId="113" fillId="38" borderId="0" xfId="0" applyFont="1" applyFill="1" applyAlignment="1">
      <alignment horizontal="right"/>
    </xf>
    <xf numFmtId="0" fontId="54" fillId="38" borderId="0" xfId="0" applyFont="1" applyFill="1" applyBorder="1" applyAlignment="1">
      <alignment horizontal="center" vertical="center"/>
    </xf>
    <xf numFmtId="4" fontId="113" fillId="0" borderId="0" xfId="0" applyNumberFormat="1" applyFont="1" applyAlignment="1">
      <alignment/>
    </xf>
    <xf numFmtId="172" fontId="113" fillId="0" borderId="0" xfId="0" applyNumberFormat="1" applyFont="1" applyAlignment="1">
      <alignment/>
    </xf>
    <xf numFmtId="172" fontId="59" fillId="38" borderId="0" xfId="0" applyNumberFormat="1" applyFont="1" applyFill="1" applyBorder="1" applyAlignment="1">
      <alignment horizontal="right"/>
    </xf>
    <xf numFmtId="173" fontId="113" fillId="0" borderId="0" xfId="0" applyNumberFormat="1" applyFont="1" applyAlignment="1">
      <alignment/>
    </xf>
    <xf numFmtId="0" fontId="113" fillId="38" borderId="0" xfId="0" applyFont="1" applyFill="1" applyBorder="1" applyAlignment="1">
      <alignment horizontal="left" vertical="center" wrapText="1"/>
    </xf>
    <xf numFmtId="0" fontId="60" fillId="38" borderId="0" xfId="0" applyFont="1" applyFill="1" applyBorder="1" applyAlignment="1">
      <alignment horizontal="left" vertical="top" wrapText="1"/>
    </xf>
    <xf numFmtId="0" fontId="7" fillId="38" borderId="0" xfId="0" applyFont="1" applyFill="1" applyAlignment="1">
      <alignment horizontal="left" vertical="center"/>
    </xf>
    <xf numFmtId="0" fontId="114" fillId="38" borderId="0" xfId="0" applyFont="1" applyFill="1" applyAlignment="1">
      <alignment/>
    </xf>
    <xf numFmtId="0" fontId="7" fillId="38" borderId="21" xfId="0" applyFont="1" applyFill="1" applyBorder="1" applyAlignment="1">
      <alignment vertical="center" wrapText="1"/>
    </xf>
    <xf numFmtId="0" fontId="7" fillId="38" borderId="22" xfId="0" applyFont="1" applyFill="1" applyBorder="1" applyAlignment="1">
      <alignment vertical="center" wrapText="1"/>
    </xf>
    <xf numFmtId="0" fontId="7" fillId="38" borderId="23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114" fillId="38" borderId="18" xfId="0" applyFont="1" applyFill="1" applyBorder="1" applyAlignment="1">
      <alignment vertical="center" wrapText="1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left" vertical="center"/>
    </xf>
    <xf numFmtId="0" fontId="114" fillId="38" borderId="0" xfId="0" applyFont="1" applyFill="1" applyAlignment="1">
      <alignment horizontal="right"/>
    </xf>
    <xf numFmtId="0" fontId="7" fillId="38" borderId="0" xfId="0" applyFont="1" applyFill="1" applyAlignment="1">
      <alignment vertical="center"/>
    </xf>
    <xf numFmtId="0" fontId="7" fillId="38" borderId="54" xfId="0" applyFont="1" applyFill="1" applyBorder="1" applyAlignment="1">
      <alignment vertical="center" wrapText="1"/>
    </xf>
    <xf numFmtId="173" fontId="2" fillId="38" borderId="55" xfId="56" applyNumberFormat="1" applyFont="1" applyFill="1" applyBorder="1" applyAlignment="1">
      <alignment horizontal="right" vertical="center" wrapText="1"/>
      <protection/>
    </xf>
    <xf numFmtId="173" fontId="2" fillId="38" borderId="56" xfId="56" applyNumberFormat="1" applyFont="1" applyFill="1" applyBorder="1" applyAlignment="1">
      <alignment horizontal="right" vertical="center" wrapText="1"/>
      <protection/>
    </xf>
    <xf numFmtId="0" fontId="114" fillId="38" borderId="10" xfId="0" applyFont="1" applyFill="1" applyBorder="1" applyAlignment="1">
      <alignment horizontal="right" vertical="center"/>
    </xf>
    <xf numFmtId="0" fontId="114" fillId="38" borderId="0" xfId="0" applyFont="1" applyFill="1" applyAlignment="1">
      <alignment vertical="center"/>
    </xf>
    <xf numFmtId="0" fontId="2" fillId="38" borderId="57" xfId="0" applyFont="1" applyFill="1" applyBorder="1" applyAlignment="1">
      <alignment vertical="center"/>
    </xf>
    <xf numFmtId="0" fontId="2" fillId="38" borderId="58" xfId="56" applyFont="1" applyFill="1" applyBorder="1" applyAlignment="1">
      <alignment horizontal="left" vertical="center" wrapText="1"/>
      <protection/>
    </xf>
    <xf numFmtId="0" fontId="42" fillId="38" borderId="55" xfId="0" applyFont="1" applyFill="1" applyBorder="1" applyAlignment="1">
      <alignment horizontal="center" vertical="center" wrapText="1"/>
    </xf>
    <xf numFmtId="3" fontId="2" fillId="38" borderId="55" xfId="56" applyNumberFormat="1" applyFont="1" applyFill="1" applyBorder="1" applyAlignment="1">
      <alignment horizontal="right" vertical="center" wrapText="1"/>
      <protection/>
    </xf>
    <xf numFmtId="181" fontId="2" fillId="38" borderId="55" xfId="56" applyNumberFormat="1" applyFont="1" applyFill="1" applyBorder="1" applyAlignment="1">
      <alignment horizontal="right" vertical="center" wrapText="1"/>
      <protection/>
    </xf>
    <xf numFmtId="0" fontId="2" fillId="38" borderId="50" xfId="56" applyFont="1" applyFill="1" applyBorder="1" applyAlignment="1">
      <alignment horizontal="left" vertical="center" wrapText="1"/>
      <protection/>
    </xf>
    <xf numFmtId="0" fontId="42" fillId="38" borderId="49" xfId="0" applyFont="1" applyFill="1" applyBorder="1" applyAlignment="1">
      <alignment horizontal="center" vertical="center" wrapText="1"/>
    </xf>
    <xf numFmtId="1" fontId="2" fillId="38" borderId="59" xfId="89" applyNumberFormat="1" applyFont="1" applyFill="1" applyBorder="1" applyAlignment="1">
      <alignment horizontal="center" vertical="center" wrapText="1"/>
    </xf>
    <xf numFmtId="1" fontId="2" fillId="38" borderId="50" xfId="56" applyNumberFormat="1" applyFont="1" applyFill="1" applyBorder="1" applyAlignment="1">
      <alignment horizontal="right" vertical="center" wrapText="1"/>
      <protection/>
    </xf>
    <xf numFmtId="1" fontId="2" fillId="38" borderId="49" xfId="56" applyNumberFormat="1" applyFont="1" applyFill="1" applyBorder="1" applyAlignment="1">
      <alignment horizontal="right" vertical="center" wrapText="1"/>
      <protection/>
    </xf>
    <xf numFmtId="0" fontId="114" fillId="38" borderId="6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 vertical="center" wrapText="1"/>
    </xf>
    <xf numFmtId="0" fontId="115" fillId="38" borderId="24" xfId="0" applyFont="1" applyFill="1" applyBorder="1" applyAlignment="1">
      <alignment horizontal="left" vertical="center"/>
    </xf>
    <xf numFmtId="172" fontId="15" fillId="38" borderId="42" xfId="0" applyNumberFormat="1" applyFont="1" applyFill="1" applyBorder="1" applyAlignment="1">
      <alignment horizontal="right" vertical="center"/>
    </xf>
    <xf numFmtId="172" fontId="15" fillId="38" borderId="12" xfId="0" applyNumberFormat="1" applyFont="1" applyFill="1" applyBorder="1" applyAlignment="1">
      <alignment horizontal="right" vertical="center"/>
    </xf>
    <xf numFmtId="0" fontId="115" fillId="38" borderId="42" xfId="0" applyFont="1" applyFill="1" applyBorder="1" applyAlignment="1">
      <alignment horizontal="left" vertical="center"/>
    </xf>
    <xf numFmtId="172" fontId="15" fillId="38" borderId="61" xfId="0" applyNumberFormat="1" applyFont="1" applyFill="1" applyBorder="1" applyAlignment="1">
      <alignment horizontal="right" vertical="center"/>
    </xf>
    <xf numFmtId="172" fontId="15" fillId="38" borderId="10" xfId="0" applyNumberFormat="1" applyFont="1" applyFill="1" applyBorder="1" applyAlignment="1">
      <alignment horizontal="right" vertical="center"/>
    </xf>
    <xf numFmtId="0" fontId="115" fillId="38" borderId="10" xfId="0" applyFont="1" applyFill="1" applyBorder="1" applyAlignment="1">
      <alignment horizontal="left" vertical="center"/>
    </xf>
    <xf numFmtId="0" fontId="16" fillId="40" borderId="12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15" xfId="0" applyFont="1" applyFill="1" applyBorder="1" applyAlignment="1">
      <alignment horizontal="center" vertical="center" wrapText="1"/>
    </xf>
    <xf numFmtId="0" fontId="16" fillId="40" borderId="35" xfId="0" applyFont="1" applyFill="1" applyBorder="1" applyAlignment="1">
      <alignment horizontal="center" vertical="center" wrapText="1"/>
    </xf>
    <xf numFmtId="0" fontId="116" fillId="40" borderId="15" xfId="0" applyFont="1" applyFill="1" applyBorder="1" applyAlignment="1">
      <alignment horizontal="center"/>
    </xf>
    <xf numFmtId="0" fontId="20" fillId="38" borderId="58" xfId="0" applyFont="1" applyFill="1" applyBorder="1" applyAlignment="1">
      <alignment horizontal="left" vertical="center" wrapText="1"/>
    </xf>
    <xf numFmtId="0" fontId="20" fillId="38" borderId="55" xfId="0" applyFont="1" applyFill="1" applyBorder="1" applyAlignment="1">
      <alignment horizontal="center" vertical="center" wrapText="1"/>
    </xf>
    <xf numFmtId="173" fontId="15" fillId="38" borderId="55" xfId="56" applyNumberFormat="1" applyFont="1" applyFill="1" applyBorder="1" applyAlignment="1">
      <alignment horizontal="right" vertical="center" wrapText="1"/>
      <protection/>
    </xf>
    <xf numFmtId="173" fontId="15" fillId="38" borderId="56" xfId="56" applyNumberFormat="1" applyFont="1" applyFill="1" applyBorder="1" applyAlignment="1">
      <alignment horizontal="right" vertical="center" wrapText="1"/>
      <protection/>
    </xf>
    <xf numFmtId="0" fontId="115" fillId="38" borderId="11" xfId="0" applyFont="1" applyFill="1" applyBorder="1" applyAlignment="1">
      <alignment horizontal="right" vertical="center"/>
    </xf>
    <xf numFmtId="172" fontId="15" fillId="38" borderId="24" xfId="0" applyNumberFormat="1" applyFont="1" applyFill="1" applyBorder="1" applyAlignment="1">
      <alignment horizontal="right" vertical="center"/>
    </xf>
    <xf numFmtId="172" fontId="15" fillId="38" borderId="19" xfId="0" applyNumberFormat="1" applyFont="1" applyFill="1" applyBorder="1" applyAlignment="1">
      <alignment horizontal="right" vertical="center"/>
    </xf>
    <xf numFmtId="172" fontId="15" fillId="38" borderId="29" xfId="0" applyNumberFormat="1" applyFont="1" applyFill="1" applyBorder="1" applyAlignment="1">
      <alignment horizontal="right" vertical="center"/>
    </xf>
    <xf numFmtId="172" fontId="15" fillId="38" borderId="16" xfId="0" applyNumberFormat="1" applyFont="1" applyFill="1" applyBorder="1" applyAlignment="1">
      <alignment horizontal="right" vertical="center"/>
    </xf>
    <xf numFmtId="0" fontId="117" fillId="38" borderId="58" xfId="0" applyFont="1" applyFill="1" applyBorder="1" applyAlignment="1">
      <alignment vertical="top" wrapText="1"/>
    </xf>
    <xf numFmtId="3" fontId="15" fillId="38" borderId="55" xfId="56" applyNumberFormat="1" applyFont="1" applyFill="1" applyBorder="1" applyAlignment="1">
      <alignment horizontal="right" vertical="center" wrapText="1"/>
      <protection/>
    </xf>
    <xf numFmtId="3" fontId="15" fillId="38" borderId="56" xfId="56" applyNumberFormat="1" applyFont="1" applyFill="1" applyBorder="1" applyAlignment="1">
      <alignment horizontal="right" vertical="center" wrapText="1"/>
      <protection/>
    </xf>
    <xf numFmtId="0" fontId="115" fillId="38" borderId="10" xfId="0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11" fillId="41" borderId="62" xfId="83" applyFont="1" applyFill="1" applyBorder="1" applyAlignment="1">
      <alignment vertical="top" wrapText="1"/>
      <protection/>
    </xf>
    <xf numFmtId="0" fontId="0" fillId="0" borderId="23" xfId="0" applyFont="1" applyBorder="1" applyAlignment="1">
      <alignment horizontal="left" vertical="center" wrapText="1"/>
    </xf>
    <xf numFmtId="0" fontId="6" fillId="0" borderId="34" xfId="56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74" fontId="50" fillId="0" borderId="0" xfId="93" applyNumberFormat="1" applyFont="1" applyFill="1" applyAlignment="1">
      <alignment vertical="center"/>
    </xf>
    <xf numFmtId="43" fontId="50" fillId="0" borderId="0" xfId="93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43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72" fontId="20" fillId="0" borderId="19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172" fontId="15" fillId="0" borderId="0" xfId="0" applyNumberFormat="1" applyFont="1" applyBorder="1" applyAlignment="1">
      <alignment horizontal="right" vertical="center"/>
    </xf>
    <xf numFmtId="172" fontId="16" fillId="0" borderId="0" xfId="0" applyNumberFormat="1" applyFont="1" applyBorder="1" applyAlignment="1">
      <alignment horizontal="righ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Fill="1" applyBorder="1" applyAlignment="1">
      <alignment horizontal="right"/>
    </xf>
    <xf numFmtId="0" fontId="6" fillId="37" borderId="15" xfId="56" applyFont="1" applyFill="1" applyBorder="1" applyAlignment="1">
      <alignment vertical="top" wrapText="1"/>
      <protection/>
    </xf>
    <xf numFmtId="0" fontId="6" fillId="38" borderId="32" xfId="56" applyFont="1" applyFill="1" applyBorder="1" applyAlignment="1">
      <alignment horizontal="center" vertical="top" wrapText="1"/>
      <protection/>
    </xf>
    <xf numFmtId="0" fontId="6" fillId="38" borderId="63" xfId="56" applyFont="1" applyFill="1" applyBorder="1" applyAlignment="1">
      <alignment horizontal="center" vertical="center" wrapText="1"/>
      <protection/>
    </xf>
    <xf numFmtId="176" fontId="6" fillId="36" borderId="15" xfId="93" applyNumberFormat="1" applyFont="1" applyFill="1" applyBorder="1" applyAlignment="1">
      <alignment vertical="center" wrapText="1"/>
    </xf>
    <xf numFmtId="0" fontId="118" fillId="0" borderId="0" xfId="0" applyFont="1" applyFill="1" applyAlignment="1">
      <alignment/>
    </xf>
    <xf numFmtId="0" fontId="53" fillId="0" borderId="15" xfId="56" applyFont="1" applyFill="1" applyBorder="1" applyAlignment="1">
      <alignment horizontal="left" vertical="top" wrapText="1"/>
      <protection/>
    </xf>
    <xf numFmtId="0" fontId="53" fillId="0" borderId="15" xfId="56" applyFont="1" applyFill="1" applyBorder="1" applyAlignment="1">
      <alignment horizontal="left" vertical="center" wrapText="1"/>
      <protection/>
    </xf>
    <xf numFmtId="0" fontId="4" fillId="38" borderId="15" xfId="56" applyFont="1" applyFill="1" applyBorder="1" applyAlignment="1">
      <alignment horizontal="left" vertical="center" wrapText="1"/>
      <protection/>
    </xf>
    <xf numFmtId="0" fontId="119" fillId="0" borderId="0" xfId="0" applyFont="1" applyFill="1" applyAlignment="1">
      <alignment/>
    </xf>
    <xf numFmtId="0" fontId="15" fillId="42" borderId="19" xfId="0" applyFont="1" applyFill="1" applyBorder="1" applyAlignment="1">
      <alignment horizontal="right" vertical="center" wrapText="1"/>
    </xf>
    <xf numFmtId="0" fontId="4" fillId="38" borderId="32" xfId="56" applyFont="1" applyFill="1" applyBorder="1" applyAlignment="1">
      <alignment horizontal="left" vertical="center" wrapText="1"/>
      <protection/>
    </xf>
    <xf numFmtId="0" fontId="4" fillId="38" borderId="15" xfId="0" applyFont="1" applyFill="1" applyBorder="1" applyAlignment="1">
      <alignment horizontal="left" vertical="center" wrapText="1"/>
    </xf>
    <xf numFmtId="0" fontId="6" fillId="38" borderId="15" xfId="56" applyFont="1" applyFill="1" applyBorder="1" applyAlignment="1">
      <alignment vertical="center" wrapText="1"/>
      <protection/>
    </xf>
    <xf numFmtId="0" fontId="6" fillId="38" borderId="15" xfId="56" applyFont="1" applyFill="1" applyBorder="1" applyAlignment="1">
      <alignment vertical="top" wrapText="1"/>
      <protection/>
    </xf>
    <xf numFmtId="0" fontId="6" fillId="38" borderId="33" xfId="56" applyFont="1" applyFill="1" applyBorder="1" applyAlignment="1">
      <alignment vertical="top" wrapText="1"/>
      <protection/>
    </xf>
    <xf numFmtId="0" fontId="4" fillId="38" borderId="32" xfId="56" applyFont="1" applyFill="1" applyBorder="1" applyAlignment="1">
      <alignment horizontal="left" vertical="top" wrapText="1"/>
      <protection/>
    </xf>
    <xf numFmtId="0" fontId="6" fillId="38" borderId="33" xfId="56" applyFont="1" applyFill="1" applyBorder="1" applyAlignment="1">
      <alignment horizontal="center" vertical="center" wrapText="1"/>
      <protection/>
    </xf>
    <xf numFmtId="0" fontId="6" fillId="38" borderId="18" xfId="56" applyFont="1" applyFill="1" applyBorder="1" applyAlignment="1">
      <alignment vertical="top" wrapText="1"/>
      <protection/>
    </xf>
    <xf numFmtId="0" fontId="6" fillId="38" borderId="35" xfId="56" applyFont="1" applyFill="1" applyBorder="1" applyAlignment="1">
      <alignment vertical="top" wrapText="1"/>
      <protection/>
    </xf>
    <xf numFmtId="0" fontId="6" fillId="38" borderId="33" xfId="56" applyFont="1" applyFill="1" applyBorder="1" applyAlignment="1">
      <alignment horizontal="left" vertical="center" wrapText="1"/>
      <protection/>
    </xf>
    <xf numFmtId="0" fontId="15" fillId="38" borderId="31" xfId="0" applyFont="1" applyFill="1" applyBorder="1" applyAlignment="1">
      <alignment horizontal="right" vertical="center" wrapText="1"/>
    </xf>
    <xf numFmtId="172" fontId="15" fillId="37" borderId="19" xfId="0" applyNumberFormat="1" applyFont="1" applyFill="1" applyBorder="1" applyAlignment="1">
      <alignment horizontal="right" vertical="center"/>
    </xf>
    <xf numFmtId="172" fontId="15" fillId="37" borderId="29" xfId="0" applyNumberFormat="1" applyFont="1" applyFill="1" applyBorder="1" applyAlignment="1">
      <alignment horizontal="right" vertical="center"/>
    </xf>
    <xf numFmtId="172" fontId="16" fillId="37" borderId="24" xfId="0" applyNumberFormat="1" applyFont="1" applyFill="1" applyBorder="1" applyAlignment="1">
      <alignment horizontal="right"/>
    </xf>
    <xf numFmtId="172" fontId="15" fillId="37" borderId="42" xfId="0" applyNumberFormat="1" applyFont="1" applyFill="1" applyBorder="1" applyAlignment="1">
      <alignment horizontal="right" vertical="center"/>
    </xf>
    <xf numFmtId="172" fontId="15" fillId="37" borderId="12" xfId="0" applyNumberFormat="1" applyFont="1" applyFill="1" applyBorder="1" applyAlignment="1">
      <alignment horizontal="right" vertical="center"/>
    </xf>
    <xf numFmtId="172" fontId="15" fillId="37" borderId="43" xfId="0" applyNumberFormat="1" applyFont="1" applyFill="1" applyBorder="1" applyAlignment="1">
      <alignment horizontal="right" vertical="center"/>
    </xf>
    <xf numFmtId="4" fontId="15" fillId="37" borderId="64" xfId="83" applyNumberFormat="1" applyFont="1" applyFill="1" applyBorder="1" applyAlignment="1">
      <alignment horizontal="right" vertical="center"/>
      <protection/>
    </xf>
    <xf numFmtId="4" fontId="15" fillId="37" borderId="63" xfId="83" applyNumberFormat="1" applyFont="1" applyFill="1" applyBorder="1" applyAlignment="1">
      <alignment horizontal="right" vertical="center"/>
      <protection/>
    </xf>
    <xf numFmtId="172" fontId="15" fillId="37" borderId="61" xfId="0" applyNumberFormat="1" applyFont="1" applyFill="1" applyBorder="1" applyAlignment="1">
      <alignment horizontal="right" vertical="center"/>
    </xf>
    <xf numFmtId="172" fontId="15" fillId="43" borderId="19" xfId="0" applyNumberFormat="1" applyFont="1" applyFill="1" applyBorder="1" applyAlignment="1">
      <alignment horizontal="right" vertical="center"/>
    </xf>
    <xf numFmtId="172" fontId="115" fillId="43" borderId="19" xfId="0" applyNumberFormat="1" applyFont="1" applyFill="1" applyBorder="1" applyAlignment="1">
      <alignment horizontal="right" vertical="center"/>
    </xf>
    <xf numFmtId="0" fontId="6" fillId="44" borderId="15" xfId="56" applyFont="1" applyFill="1" applyBorder="1" applyAlignment="1">
      <alignment horizontal="center" vertical="center" wrapText="1"/>
      <protection/>
    </xf>
    <xf numFmtId="0" fontId="6" fillId="44" borderId="34" xfId="56" applyFont="1" applyFill="1" applyBorder="1" applyAlignment="1">
      <alignment horizontal="center" vertical="center" wrapText="1"/>
      <protection/>
    </xf>
    <xf numFmtId="0" fontId="12" fillId="44" borderId="0" xfId="0" applyFont="1" applyFill="1" applyAlignment="1">
      <alignment vertical="center"/>
    </xf>
    <xf numFmtId="0" fontId="4" fillId="44" borderId="15" xfId="56" applyFont="1" applyFill="1" applyBorder="1" applyAlignment="1">
      <alignment horizontal="center" vertical="center" wrapText="1"/>
      <protection/>
    </xf>
    <xf numFmtId="0" fontId="4" fillId="44" borderId="15" xfId="56" applyFont="1" applyFill="1" applyBorder="1" applyAlignment="1">
      <alignment horizontal="right" vertical="center" wrapText="1"/>
      <protection/>
    </xf>
    <xf numFmtId="0" fontId="4" fillId="44" borderId="15" xfId="56" applyFont="1" applyFill="1" applyBorder="1" applyAlignment="1">
      <alignment horizontal="right" vertical="center"/>
      <protection/>
    </xf>
    <xf numFmtId="0" fontId="4" fillId="44" borderId="35" xfId="56" applyFont="1" applyFill="1" applyBorder="1" applyAlignment="1">
      <alignment horizontal="right" vertical="center"/>
      <protection/>
    </xf>
    <xf numFmtId="0" fontId="12" fillId="44" borderId="0" xfId="0" applyFont="1" applyFill="1" applyAlignment="1">
      <alignment/>
    </xf>
    <xf numFmtId="0" fontId="4" fillId="44" borderId="15" xfId="0" applyFont="1" applyFill="1" applyBorder="1" applyAlignment="1">
      <alignment horizontal="center" vertical="center" wrapText="1"/>
    </xf>
    <xf numFmtId="0" fontId="4" fillId="44" borderId="15" xfId="56" applyFont="1" applyFill="1" applyBorder="1" applyAlignment="1">
      <alignment horizontal="center" vertical="top" wrapText="1"/>
      <protection/>
    </xf>
    <xf numFmtId="0" fontId="6" fillId="44" borderId="15" xfId="56" applyFont="1" applyFill="1" applyBorder="1" applyAlignment="1">
      <alignment horizontal="center" vertical="top" wrapText="1"/>
      <protection/>
    </xf>
    <xf numFmtId="0" fontId="53" fillId="44" borderId="15" xfId="56" applyFont="1" applyFill="1" applyBorder="1" applyAlignment="1">
      <alignment horizontal="center" vertical="center" wrapText="1"/>
      <protection/>
    </xf>
    <xf numFmtId="0" fontId="50" fillId="44" borderId="15" xfId="56" applyFont="1" applyFill="1" applyBorder="1" applyAlignment="1">
      <alignment horizontal="right" vertical="center" wrapText="1"/>
      <protection/>
    </xf>
    <xf numFmtId="0" fontId="67" fillId="44" borderId="0" xfId="0" applyFont="1" applyFill="1" applyAlignment="1">
      <alignment/>
    </xf>
    <xf numFmtId="0" fontId="67" fillId="44" borderId="0" xfId="0" applyFont="1" applyFill="1" applyBorder="1" applyAlignment="1">
      <alignment/>
    </xf>
    <xf numFmtId="0" fontId="53" fillId="44" borderId="15" xfId="56" applyFont="1" applyFill="1" applyBorder="1" applyAlignment="1">
      <alignment horizontal="right" vertical="center" wrapText="1"/>
      <protection/>
    </xf>
    <xf numFmtId="172" fontId="53" fillId="44" borderId="15" xfId="56" applyNumberFormat="1" applyFont="1" applyFill="1" applyBorder="1" applyAlignment="1">
      <alignment horizontal="right" vertical="center" wrapText="1"/>
      <protection/>
    </xf>
    <xf numFmtId="0" fontId="53" fillId="44" borderId="35" xfId="56" applyFont="1" applyFill="1" applyBorder="1" applyAlignment="1">
      <alignment horizontal="right" vertical="center" wrapText="1"/>
      <protection/>
    </xf>
    <xf numFmtId="0" fontId="4" fillId="44" borderId="0" xfId="0" applyFont="1" applyFill="1" applyAlignment="1">
      <alignment horizontal="center"/>
    </xf>
    <xf numFmtId="3" fontId="4" fillId="44" borderId="15" xfId="56" applyNumberFormat="1" applyFont="1" applyFill="1" applyBorder="1" applyAlignment="1">
      <alignment horizontal="right" vertical="center" wrapText="1"/>
      <protection/>
    </xf>
    <xf numFmtId="3" fontId="4" fillId="44" borderId="35" xfId="56" applyNumberFormat="1" applyFont="1" applyFill="1" applyBorder="1" applyAlignment="1">
      <alignment horizontal="right" vertical="center" wrapText="1"/>
      <protection/>
    </xf>
    <xf numFmtId="1" fontId="4" fillId="44" borderId="15" xfId="88" applyNumberFormat="1" applyFont="1" applyFill="1" applyBorder="1" applyAlignment="1">
      <alignment horizontal="right" vertical="center" wrapText="1"/>
    </xf>
    <xf numFmtId="1" fontId="4" fillId="44" borderId="35" xfId="88" applyNumberFormat="1" applyFont="1" applyFill="1" applyBorder="1" applyAlignment="1">
      <alignment horizontal="right" vertical="center" wrapText="1"/>
    </xf>
    <xf numFmtId="0" fontId="4" fillId="44" borderId="35" xfId="56" applyFont="1" applyFill="1" applyBorder="1" applyAlignment="1">
      <alignment horizontal="right" vertical="center" wrapText="1"/>
      <protection/>
    </xf>
    <xf numFmtId="0" fontId="6" fillId="44" borderId="15" xfId="56" applyFont="1" applyFill="1" applyBorder="1" applyAlignment="1">
      <alignment horizontal="right" vertical="center" wrapText="1"/>
      <protection/>
    </xf>
    <xf numFmtId="0" fontId="6" fillId="44" borderId="35" xfId="56" applyFont="1" applyFill="1" applyBorder="1" applyAlignment="1">
      <alignment horizontal="right" vertical="center" wrapText="1"/>
      <protection/>
    </xf>
    <xf numFmtId="173" fontId="4" fillId="44" borderId="15" xfId="56" applyNumberFormat="1" applyFont="1" applyFill="1" applyBorder="1" applyAlignment="1">
      <alignment horizontal="right" vertical="center" wrapText="1"/>
      <protection/>
    </xf>
    <xf numFmtId="0" fontId="4" fillId="44" borderId="32" xfId="56" applyFont="1" applyFill="1" applyBorder="1" applyAlignment="1">
      <alignment horizontal="center" vertical="center" wrapText="1"/>
      <protection/>
    </xf>
    <xf numFmtId="1" fontId="4" fillId="44" borderId="32" xfId="89" applyNumberFormat="1" applyFont="1" applyFill="1" applyBorder="1" applyAlignment="1">
      <alignment horizontal="center" vertical="center" wrapText="1"/>
    </xf>
    <xf numFmtId="1" fontId="4" fillId="44" borderId="32" xfId="56" applyNumberFormat="1" applyFont="1" applyFill="1" applyBorder="1" applyAlignment="1">
      <alignment horizontal="right" vertical="center" wrapText="1"/>
      <protection/>
    </xf>
    <xf numFmtId="181" fontId="4" fillId="44" borderId="15" xfId="56" applyNumberFormat="1" applyFont="1" applyFill="1" applyBorder="1" applyAlignment="1">
      <alignment horizontal="right" vertical="center" wrapText="1"/>
      <protection/>
    </xf>
    <xf numFmtId="9" fontId="4" fillId="44" borderId="15" xfId="56" applyNumberFormat="1" applyFont="1" applyFill="1" applyBorder="1" applyAlignment="1">
      <alignment horizontal="right" vertical="center" wrapText="1"/>
      <protection/>
    </xf>
    <xf numFmtId="9" fontId="4" fillId="44" borderId="35" xfId="56" applyNumberFormat="1" applyFont="1" applyFill="1" applyBorder="1" applyAlignment="1">
      <alignment horizontal="right" vertical="center" wrapText="1"/>
      <protection/>
    </xf>
    <xf numFmtId="9" fontId="53" fillId="44" borderId="15" xfId="56" applyNumberFormat="1" applyFont="1" applyFill="1" applyBorder="1" applyAlignment="1">
      <alignment horizontal="right" vertical="center" wrapText="1"/>
      <protection/>
    </xf>
    <xf numFmtId="9" fontId="53" fillId="44" borderId="35" xfId="56" applyNumberFormat="1" applyFont="1" applyFill="1" applyBorder="1" applyAlignment="1">
      <alignment horizontal="right" vertical="center" wrapText="1"/>
      <protection/>
    </xf>
    <xf numFmtId="0" fontId="4" fillId="44" borderId="15" xfId="56" applyFont="1" applyFill="1" applyBorder="1" applyAlignment="1">
      <alignment horizontal="center"/>
      <protection/>
    </xf>
    <xf numFmtId="0" fontId="118" fillId="44" borderId="0" xfId="0" applyFont="1" applyFill="1" applyAlignment="1">
      <alignment/>
    </xf>
    <xf numFmtId="174" fontId="4" fillId="20" borderId="32" xfId="93" applyNumberFormat="1" applyFont="1" applyFill="1" applyBorder="1" applyAlignment="1">
      <alignment vertical="center"/>
    </xf>
    <xf numFmtId="174" fontId="4" fillId="9" borderId="15" xfId="93" applyNumberFormat="1" applyFont="1" applyFill="1" applyBorder="1" applyAlignment="1">
      <alignment vertical="center" wrapText="1"/>
    </xf>
    <xf numFmtId="174" fontId="4" fillId="9" borderId="15" xfId="93" applyNumberFormat="1" applyFont="1" applyFill="1" applyBorder="1" applyAlignment="1">
      <alignment horizontal="center" vertical="center" wrapText="1"/>
    </xf>
    <xf numFmtId="174" fontId="4" fillId="9" borderId="15" xfId="95" applyNumberFormat="1" applyFont="1" applyFill="1" applyBorder="1" applyAlignment="1">
      <alignment vertical="center"/>
    </xf>
    <xf numFmtId="174" fontId="4" fillId="20" borderId="15" xfId="93" applyNumberFormat="1" applyFont="1" applyFill="1" applyBorder="1" applyAlignment="1">
      <alignment vertical="center"/>
    </xf>
    <xf numFmtId="174" fontId="4" fillId="9" borderId="15" xfId="93" applyNumberFormat="1" applyFont="1" applyFill="1" applyBorder="1" applyAlignment="1">
      <alignment vertical="center"/>
    </xf>
    <xf numFmtId="0" fontId="0" fillId="45" borderId="0" xfId="0" applyFill="1" applyAlignment="1">
      <alignment/>
    </xf>
    <xf numFmtId="172" fontId="0" fillId="45" borderId="0" xfId="0" applyNumberFormat="1" applyFill="1" applyAlignment="1">
      <alignment/>
    </xf>
    <xf numFmtId="0" fontId="1" fillId="45" borderId="0" xfId="0" applyFont="1" applyFill="1" applyAlignment="1">
      <alignment/>
    </xf>
    <xf numFmtId="0" fontId="1" fillId="45" borderId="0" xfId="0" applyFont="1" applyFill="1" applyAlignment="1">
      <alignment horizontal="right"/>
    </xf>
    <xf numFmtId="0" fontId="5" fillId="45" borderId="14" xfId="0" applyFont="1" applyFill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0" fillId="45" borderId="24" xfId="0" applyFill="1" applyBorder="1" applyAlignment="1">
      <alignment horizontal="left" vertical="center" wrapText="1"/>
    </xf>
    <xf numFmtId="172" fontId="2" fillId="45" borderId="13" xfId="0" applyNumberFormat="1" applyFont="1" applyFill="1" applyBorder="1" applyAlignment="1">
      <alignment horizontal="right" vertical="center"/>
    </xf>
    <xf numFmtId="172" fontId="2" fillId="45" borderId="10" xfId="0" applyNumberFormat="1" applyFont="1" applyFill="1" applyBorder="1" applyAlignment="1">
      <alignment horizontal="right" vertical="center"/>
    </xf>
    <xf numFmtId="172" fontId="2" fillId="45" borderId="24" xfId="0" applyNumberFormat="1" applyFont="1" applyFill="1" applyBorder="1" applyAlignment="1">
      <alignment horizontal="right" vertical="center"/>
    </xf>
    <xf numFmtId="172" fontId="2" fillId="45" borderId="17" xfId="0" applyNumberFormat="1" applyFont="1" applyFill="1" applyBorder="1" applyAlignment="1">
      <alignment horizontal="right" vertical="center"/>
    </xf>
    <xf numFmtId="172" fontId="2" fillId="45" borderId="18" xfId="0" applyNumberFormat="1" applyFont="1" applyFill="1" applyBorder="1" applyAlignment="1">
      <alignment horizontal="right" vertical="center"/>
    </xf>
    <xf numFmtId="172" fontId="7" fillId="45" borderId="24" xfId="0" applyNumberFormat="1" applyFont="1" applyFill="1" applyBorder="1" applyAlignment="1">
      <alignment horizontal="right"/>
    </xf>
    <xf numFmtId="0" fontId="0" fillId="45" borderId="62" xfId="0" applyFill="1" applyBorder="1" applyAlignment="1">
      <alignment horizontal="left" vertical="center" wrapText="1"/>
    </xf>
    <xf numFmtId="172" fontId="2" fillId="45" borderId="19" xfId="0" applyNumberFormat="1" applyFont="1" applyFill="1" applyBorder="1" applyAlignment="1">
      <alignment horizontal="right" vertical="center"/>
    </xf>
    <xf numFmtId="172" fontId="2" fillId="45" borderId="62" xfId="0" applyNumberFormat="1" applyFont="1" applyFill="1" applyBorder="1" applyAlignment="1">
      <alignment horizontal="right" vertical="center"/>
    </xf>
    <xf numFmtId="172" fontId="7" fillId="45" borderId="42" xfId="0" applyNumberFormat="1" applyFont="1" applyFill="1" applyBorder="1" applyAlignment="1">
      <alignment horizontal="right"/>
    </xf>
    <xf numFmtId="0" fontId="11" fillId="45" borderId="62" xfId="83" applyFont="1" applyFill="1" applyBorder="1" applyAlignment="1">
      <alignment vertical="top" wrapText="1"/>
      <protection/>
    </xf>
    <xf numFmtId="174" fontId="2" fillId="45" borderId="33" xfId="95" applyNumberFormat="1" applyFont="1" applyFill="1" applyBorder="1" applyAlignment="1">
      <alignment vertical="center" wrapText="1"/>
    </xf>
    <xf numFmtId="4" fontId="2" fillId="45" borderId="15" xfId="83" applyNumberFormat="1" applyFont="1" applyFill="1" applyBorder="1" applyAlignment="1">
      <alignment horizontal="right" vertical="center"/>
      <protection/>
    </xf>
    <xf numFmtId="172" fontId="2" fillId="45" borderId="15" xfId="83" applyNumberFormat="1" applyFont="1" applyFill="1" applyBorder="1" applyAlignment="1">
      <alignment horizontal="right" vertical="center"/>
      <protection/>
    </xf>
    <xf numFmtId="172" fontId="2" fillId="45" borderId="65" xfId="0" applyNumberFormat="1" applyFont="1" applyFill="1" applyBorder="1" applyAlignment="1">
      <alignment horizontal="right" vertical="center"/>
    </xf>
    <xf numFmtId="172" fontId="2" fillId="45" borderId="15" xfId="0" applyNumberFormat="1" applyFont="1" applyFill="1" applyBorder="1" applyAlignment="1">
      <alignment horizontal="right" vertical="center"/>
    </xf>
    <xf numFmtId="172" fontId="2" fillId="45" borderId="29" xfId="0" applyNumberFormat="1" applyFont="1" applyFill="1" applyBorder="1" applyAlignment="1">
      <alignment horizontal="right" vertical="center"/>
    </xf>
    <xf numFmtId="0" fontId="0" fillId="45" borderId="23" xfId="0" applyFont="1" applyFill="1" applyBorder="1" applyAlignment="1">
      <alignment horizontal="left" vertical="center" wrapText="1"/>
    </xf>
    <xf numFmtId="172" fontId="2" fillId="45" borderId="20" xfId="0" applyNumberFormat="1" applyFont="1" applyFill="1" applyBorder="1" applyAlignment="1">
      <alignment horizontal="right" vertical="center"/>
    </xf>
    <xf numFmtId="172" fontId="2" fillId="45" borderId="11" xfId="0" applyNumberFormat="1" applyFont="1" applyFill="1" applyBorder="1" applyAlignment="1">
      <alignment horizontal="right" vertical="center"/>
    </xf>
    <xf numFmtId="172" fontId="2" fillId="45" borderId="0" xfId="0" applyNumberFormat="1" applyFont="1" applyFill="1" applyBorder="1" applyAlignment="1">
      <alignment horizontal="right" vertical="center"/>
    </xf>
    <xf numFmtId="0" fontId="5" fillId="45" borderId="10" xfId="0" applyFont="1" applyFill="1" applyBorder="1" applyAlignment="1">
      <alignment horizontal="left" vertical="center"/>
    </xf>
    <xf numFmtId="172" fontId="7" fillId="45" borderId="13" xfId="0" applyNumberFormat="1" applyFont="1" applyFill="1" applyBorder="1" applyAlignment="1">
      <alignment horizontal="right" vertical="center"/>
    </xf>
    <xf numFmtId="172" fontId="2" fillId="9" borderId="17" xfId="0" applyNumberFormat="1" applyFont="1" applyFill="1" applyBorder="1" applyAlignment="1">
      <alignment horizontal="right" vertical="center"/>
    </xf>
    <xf numFmtId="4" fontId="2" fillId="9" borderId="15" xfId="83" applyNumberFormat="1" applyFont="1" applyFill="1" applyBorder="1" applyAlignment="1">
      <alignment horizontal="right" vertical="center"/>
      <protection/>
    </xf>
    <xf numFmtId="172" fontId="120" fillId="0" borderId="0" xfId="0" applyNumberFormat="1" applyFont="1" applyAlignment="1">
      <alignment/>
    </xf>
    <xf numFmtId="172" fontId="15" fillId="9" borderId="19" xfId="0" applyNumberFormat="1" applyFont="1" applyFill="1" applyBorder="1" applyAlignment="1">
      <alignment horizontal="right" vertical="center"/>
    </xf>
    <xf numFmtId="172" fontId="15" fillId="9" borderId="61" xfId="0" applyNumberFormat="1" applyFont="1" applyFill="1" applyBorder="1" applyAlignment="1">
      <alignment horizontal="right" vertical="center"/>
    </xf>
    <xf numFmtId="0" fontId="6" fillId="0" borderId="35" xfId="56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18" xfId="56" applyFont="1" applyFill="1" applyBorder="1" applyAlignment="1">
      <alignment horizontal="center" vertical="center" wrapText="1"/>
      <protection/>
    </xf>
    <xf numFmtId="3" fontId="53" fillId="44" borderId="32" xfId="56" applyNumberFormat="1" applyFont="1" applyFill="1" applyBorder="1" applyAlignment="1">
      <alignment horizontal="center" vertical="center" wrapText="1"/>
      <protection/>
    </xf>
    <xf numFmtId="3" fontId="53" fillId="44" borderId="34" xfId="56" applyNumberFormat="1" applyFont="1" applyFill="1" applyBorder="1" applyAlignment="1">
      <alignment horizontal="center" vertical="center" wrapText="1"/>
      <protection/>
    </xf>
    <xf numFmtId="0" fontId="53" fillId="44" borderId="32" xfId="56" applyFont="1" applyFill="1" applyBorder="1" applyAlignment="1">
      <alignment horizontal="center" vertical="center" wrapText="1"/>
      <protection/>
    </xf>
    <xf numFmtId="0" fontId="53" fillId="44" borderId="34" xfId="56" applyFont="1" applyFill="1" applyBorder="1" applyAlignment="1">
      <alignment horizontal="center" vertical="center" wrapText="1"/>
      <protection/>
    </xf>
    <xf numFmtId="0" fontId="4" fillId="38" borderId="63" xfId="56" applyFont="1" applyFill="1" applyBorder="1" applyAlignment="1">
      <alignment horizontal="left" vertical="center" wrapText="1"/>
      <protection/>
    </xf>
    <xf numFmtId="0" fontId="0" fillId="38" borderId="34" xfId="0" applyFill="1" applyBorder="1" applyAlignment="1">
      <alignment horizontal="left" wrapText="1"/>
    </xf>
    <xf numFmtId="0" fontId="4" fillId="44" borderId="32" xfId="56" applyFont="1" applyFill="1" applyBorder="1" applyAlignment="1">
      <alignment horizontal="right" vertical="center"/>
      <protection/>
    </xf>
    <xf numFmtId="0" fontId="0" fillId="44" borderId="34" xfId="0" applyFill="1" applyBorder="1" applyAlignment="1">
      <alignment horizontal="right" vertical="center"/>
    </xf>
    <xf numFmtId="174" fontId="4" fillId="0" borderId="38" xfId="93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44" borderId="32" xfId="56" applyFont="1" applyFill="1" applyBorder="1" applyAlignment="1">
      <alignment horizontal="center" vertical="center" wrapText="1"/>
      <protection/>
    </xf>
    <xf numFmtId="0" fontId="4" fillId="44" borderId="34" xfId="0" applyFont="1" applyFill="1" applyBorder="1" applyAlignment="1">
      <alignment horizontal="center" vertical="center" wrapText="1"/>
    </xf>
    <xf numFmtId="9" fontId="4" fillId="44" borderId="32" xfId="56" applyNumberFormat="1" applyFont="1" applyFill="1" applyBorder="1" applyAlignment="1">
      <alignment horizontal="center" vertical="center" wrapText="1"/>
      <protection/>
    </xf>
    <xf numFmtId="9" fontId="4" fillId="44" borderId="34" xfId="56" applyNumberFormat="1" applyFont="1" applyFill="1" applyBorder="1" applyAlignment="1">
      <alignment horizontal="center" vertical="center" wrapText="1"/>
      <protection/>
    </xf>
    <xf numFmtId="0" fontId="4" fillId="44" borderId="32" xfId="56" applyFont="1" applyFill="1" applyBorder="1" applyAlignment="1">
      <alignment horizontal="right" vertical="center" wrapText="1"/>
      <protection/>
    </xf>
    <xf numFmtId="0" fontId="4" fillId="44" borderId="34" xfId="56" applyFont="1" applyFill="1" applyBorder="1" applyAlignment="1">
      <alignment horizontal="right" vertical="center" wrapText="1"/>
      <protection/>
    </xf>
    <xf numFmtId="174" fontId="4" fillId="0" borderId="32" xfId="93" applyNumberFormat="1" applyFont="1" applyFill="1" applyBorder="1" applyAlignment="1">
      <alignment vertical="center"/>
    </xf>
    <xf numFmtId="174" fontId="4" fillId="0" borderId="34" xfId="93" applyNumberFormat="1" applyFont="1" applyFill="1" applyBorder="1" applyAlignment="1">
      <alignment vertical="center"/>
    </xf>
    <xf numFmtId="172" fontId="21" fillId="35" borderId="32" xfId="56" applyNumberFormat="1" applyFont="1" applyFill="1" applyBorder="1" applyAlignment="1">
      <alignment horizontal="center" vertical="center" wrapText="1"/>
      <protection/>
    </xf>
    <xf numFmtId="172" fontId="21" fillId="35" borderId="34" xfId="56" applyNumberFormat="1" applyFont="1" applyFill="1" applyBorder="1" applyAlignment="1">
      <alignment horizontal="center" vertical="center" wrapText="1"/>
      <protection/>
    </xf>
    <xf numFmtId="174" fontId="4" fillId="20" borderId="32" xfId="93" applyNumberFormat="1" applyFont="1" applyFill="1" applyBorder="1" applyAlignment="1">
      <alignment vertical="center"/>
    </xf>
    <xf numFmtId="174" fontId="4" fillId="20" borderId="34" xfId="93" applyNumberFormat="1" applyFont="1" applyFill="1" applyBorder="1" applyAlignment="1">
      <alignment vertical="center"/>
    </xf>
    <xf numFmtId="172" fontId="6" fillId="0" borderId="32" xfId="56" applyNumberFormat="1" applyFont="1" applyFill="1" applyBorder="1" applyAlignment="1">
      <alignment horizontal="center" vertical="center" wrapText="1"/>
      <protection/>
    </xf>
    <xf numFmtId="172" fontId="6" fillId="0" borderId="34" xfId="56" applyNumberFormat="1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horizontal="center" vertical="top" wrapText="1"/>
      <protection/>
    </xf>
    <xf numFmtId="0" fontId="6" fillId="0" borderId="34" xfId="56" applyFont="1" applyFill="1" applyBorder="1" applyAlignment="1">
      <alignment horizontal="center" vertical="top" wrapText="1"/>
      <protection/>
    </xf>
    <xf numFmtId="0" fontId="4" fillId="0" borderId="32" xfId="56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4" fontId="4" fillId="0" borderId="41" xfId="93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6" xfId="56" applyFont="1" applyFill="1" applyBorder="1" applyAlignment="1">
      <alignment horizontal="left" vertical="center" wrapText="1"/>
      <protection/>
    </xf>
    <xf numFmtId="0" fontId="6" fillId="0" borderId="37" xfId="56" applyFont="1" applyFill="1" applyBorder="1" applyAlignment="1">
      <alignment horizontal="left" vertical="center" wrapText="1"/>
      <protection/>
    </xf>
    <xf numFmtId="0" fontId="4" fillId="0" borderId="34" xfId="56" applyFont="1" applyFill="1" applyBorder="1" applyAlignment="1">
      <alignment horizontal="left" vertical="center" wrapText="1"/>
      <protection/>
    </xf>
    <xf numFmtId="0" fontId="6" fillId="38" borderId="32" xfId="56" applyFont="1" applyFill="1" applyBorder="1" applyAlignment="1">
      <alignment vertical="top" wrapText="1"/>
      <protection/>
    </xf>
    <xf numFmtId="0" fontId="0" fillId="38" borderId="34" xfId="0" applyFill="1" applyBorder="1" applyAlignment="1">
      <alignment vertical="top" wrapText="1"/>
    </xf>
    <xf numFmtId="177" fontId="7" fillId="0" borderId="36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0" fontId="6" fillId="38" borderId="32" xfId="56" applyFont="1" applyFill="1" applyBorder="1" applyAlignment="1">
      <alignment horizontal="center" vertical="center" wrapText="1"/>
      <protection/>
    </xf>
    <xf numFmtId="0" fontId="6" fillId="38" borderId="41" xfId="56" applyFont="1" applyFill="1" applyBorder="1" applyAlignment="1">
      <alignment horizontal="center" vertical="center" wrapText="1"/>
      <protection/>
    </xf>
    <xf numFmtId="0" fontId="6" fillId="38" borderId="34" xfId="56" applyFont="1" applyFill="1" applyBorder="1" applyAlignment="1">
      <alignment horizontal="center" vertical="center" wrapText="1"/>
      <protection/>
    </xf>
    <xf numFmtId="0" fontId="4" fillId="38" borderId="32" xfId="56" applyFont="1" applyFill="1" applyBorder="1" applyAlignment="1">
      <alignment horizontal="center" vertical="center" wrapText="1"/>
      <protection/>
    </xf>
    <xf numFmtId="0" fontId="4" fillId="38" borderId="41" xfId="56" applyFont="1" applyFill="1" applyBorder="1" applyAlignment="1">
      <alignment horizontal="center" vertical="center" wrapText="1"/>
      <protection/>
    </xf>
    <xf numFmtId="0" fontId="4" fillId="38" borderId="34" xfId="56" applyFont="1" applyFill="1" applyBorder="1" applyAlignment="1">
      <alignment horizontal="center" vertical="center" wrapText="1"/>
      <protection/>
    </xf>
    <xf numFmtId="0" fontId="4" fillId="0" borderId="32" xfId="56" applyFont="1" applyFill="1" applyBorder="1" applyAlignment="1">
      <alignment horizontal="center" vertical="center" wrapText="1"/>
      <protection/>
    </xf>
    <xf numFmtId="0" fontId="4" fillId="0" borderId="41" xfId="56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5" fontId="4" fillId="20" borderId="32" xfId="0" applyNumberFormat="1" applyFont="1" applyFill="1" applyBorder="1" applyAlignment="1">
      <alignment horizontal="center" vertical="center" wrapText="1"/>
    </xf>
    <xf numFmtId="185" fontId="121" fillId="20" borderId="34" xfId="0" applyNumberFormat="1" applyFont="1" applyFill="1" applyBorder="1" applyAlignment="1">
      <alignment horizontal="center" vertical="center"/>
    </xf>
    <xf numFmtId="177" fontId="7" fillId="38" borderId="64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32" xfId="56" applyFont="1" applyFill="1" applyBorder="1" applyAlignment="1">
      <alignment horizontal="left" vertical="top" wrapText="1"/>
      <protection/>
    </xf>
    <xf numFmtId="0" fontId="4" fillId="0" borderId="34" xfId="56" applyFont="1" applyFill="1" applyBorder="1" applyAlignment="1">
      <alignment horizontal="left" vertical="top" wrapText="1"/>
      <protection/>
    </xf>
    <xf numFmtId="0" fontId="4" fillId="44" borderId="34" xfId="56" applyFont="1" applyFill="1" applyBorder="1" applyAlignment="1">
      <alignment horizontal="right" vertical="center"/>
      <protection/>
    </xf>
    <xf numFmtId="0" fontId="0" fillId="44" borderId="34" xfId="0" applyFill="1" applyBorder="1" applyAlignment="1">
      <alignment horizontal="right" vertical="center" wrapText="1"/>
    </xf>
    <xf numFmtId="0" fontId="4" fillId="44" borderId="34" xfId="56" applyFont="1" applyFill="1" applyBorder="1" applyAlignment="1">
      <alignment horizontal="center" vertical="center" wrapText="1"/>
      <protection/>
    </xf>
    <xf numFmtId="0" fontId="53" fillId="0" borderId="32" xfId="56" applyFont="1" applyFill="1" applyBorder="1" applyAlignment="1">
      <alignment horizontal="left" vertical="center" wrapText="1"/>
      <protection/>
    </xf>
    <xf numFmtId="0" fontId="11" fillId="0" borderId="34" xfId="0" applyFont="1" applyBorder="1" applyAlignment="1">
      <alignment horizontal="left" vertical="center" wrapText="1"/>
    </xf>
    <xf numFmtId="0" fontId="53" fillId="44" borderId="32" xfId="56" applyFont="1" applyFill="1" applyBorder="1" applyAlignment="1">
      <alignment horizontal="left" vertical="center" wrapText="1"/>
      <protection/>
    </xf>
    <xf numFmtId="0" fontId="11" fillId="44" borderId="34" xfId="0" applyFont="1" applyFill="1" applyBorder="1" applyAlignment="1">
      <alignment horizontal="left" vertical="center" wrapText="1"/>
    </xf>
    <xf numFmtId="178" fontId="4" fillId="38" borderId="32" xfId="0" applyNumberFormat="1" applyFont="1" applyFill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/>
    </xf>
    <xf numFmtId="174" fontId="4" fillId="9" borderId="32" xfId="93" applyNumberFormat="1" applyFont="1" applyFill="1" applyBorder="1" applyAlignment="1">
      <alignment vertical="center"/>
    </xf>
    <xf numFmtId="174" fontId="4" fillId="9" borderId="41" xfId="93" applyNumberFormat="1" applyFont="1" applyFill="1" applyBorder="1" applyAlignment="1">
      <alignment vertical="center"/>
    </xf>
    <xf numFmtId="174" fontId="4" fillId="9" borderId="34" xfId="93" applyNumberFormat="1" applyFont="1" applyFill="1" applyBorder="1" applyAlignment="1">
      <alignment vertical="center"/>
    </xf>
    <xf numFmtId="4" fontId="4" fillId="0" borderId="32" xfId="56" applyNumberFormat="1" applyFont="1" applyFill="1" applyBorder="1" applyAlignment="1">
      <alignment horizontal="left" vertical="top" wrapText="1"/>
      <protection/>
    </xf>
    <xf numFmtId="0" fontId="0" fillId="0" borderId="34" xfId="0" applyBorder="1" applyAlignment="1">
      <alignment horizontal="left" vertical="top" wrapText="1"/>
    </xf>
    <xf numFmtId="0" fontId="53" fillId="0" borderId="32" xfId="56" applyFont="1" applyFill="1" applyBorder="1" applyAlignment="1">
      <alignment horizontal="left" vertical="top" wrapText="1"/>
      <protection/>
    </xf>
    <xf numFmtId="0" fontId="53" fillId="0" borderId="34" xfId="56" applyFont="1" applyFill="1" applyBorder="1" applyAlignment="1">
      <alignment horizontal="left" vertical="top" wrapText="1"/>
      <protection/>
    </xf>
    <xf numFmtId="0" fontId="4" fillId="0" borderId="34" xfId="56" applyFont="1" applyFill="1" applyBorder="1" applyAlignment="1">
      <alignment horizontal="center" vertical="center" wrapText="1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44" xfId="56" applyFont="1" applyFill="1" applyBorder="1" applyAlignment="1">
      <alignment horizontal="center" vertical="center" wrapText="1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9" xfId="56" applyFont="1" applyFill="1" applyBorder="1" applyAlignment="1">
      <alignment horizontal="center" vertical="center" wrapText="1"/>
      <protection/>
    </xf>
    <xf numFmtId="0" fontId="6" fillId="0" borderId="4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horizontal="left" vertical="center" wrapText="1"/>
      <protection/>
    </xf>
    <xf numFmtId="0" fontId="6" fillId="0" borderId="41" xfId="56" applyFont="1" applyFill="1" applyBorder="1" applyAlignment="1">
      <alignment horizontal="left" vertical="center" wrapText="1"/>
      <protection/>
    </xf>
    <xf numFmtId="0" fontId="6" fillId="0" borderId="34" xfId="56" applyFont="1" applyFill="1" applyBorder="1" applyAlignment="1">
      <alignment horizontal="left" vertical="center" wrapText="1"/>
      <protection/>
    </xf>
    <xf numFmtId="0" fontId="6" fillId="0" borderId="32" xfId="56" applyFont="1" applyFill="1" applyBorder="1" applyAlignment="1">
      <alignment horizontal="center" vertical="center" wrapText="1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 wrapText="1"/>
      <protection/>
    </xf>
    <xf numFmtId="174" fontId="4" fillId="20" borderId="32" xfId="93" applyNumberFormat="1" applyFont="1" applyFill="1" applyBorder="1" applyAlignment="1">
      <alignment horizontal="left" vertical="center" wrapText="1"/>
    </xf>
    <xf numFmtId="174" fontId="121" fillId="20" borderId="41" xfId="93" applyNumberFormat="1" applyFont="1" applyFill="1" applyBorder="1" applyAlignment="1">
      <alignment horizontal="left" vertical="center"/>
    </xf>
    <xf numFmtId="174" fontId="4" fillId="20" borderId="32" xfId="93" applyNumberFormat="1" applyFont="1" applyFill="1" applyBorder="1" applyAlignment="1">
      <alignment horizontal="center" vertical="center"/>
    </xf>
    <xf numFmtId="174" fontId="4" fillId="20" borderId="34" xfId="93" applyNumberFormat="1" applyFont="1" applyFill="1" applyBorder="1" applyAlignment="1">
      <alignment horizontal="center" vertical="center"/>
    </xf>
    <xf numFmtId="0" fontId="4" fillId="38" borderId="32" xfId="56" applyFont="1" applyFill="1" applyBorder="1" applyAlignment="1">
      <alignment horizontal="left" vertical="center" wrapText="1"/>
      <protection/>
    </xf>
    <xf numFmtId="0" fontId="4" fillId="38" borderId="41" xfId="56" applyFont="1" applyFill="1" applyBorder="1" applyAlignment="1">
      <alignment horizontal="left" vertical="center" wrapText="1"/>
      <protection/>
    </xf>
    <xf numFmtId="0" fontId="4" fillId="38" borderId="34" xfId="56" applyFont="1" applyFill="1" applyBorder="1" applyAlignment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4" fillId="38" borderId="32" xfId="56" applyFont="1" applyFill="1" applyBorder="1" applyAlignment="1">
      <alignment horizontal="left" vertical="top" wrapText="1"/>
      <protection/>
    </xf>
    <xf numFmtId="0" fontId="4" fillId="38" borderId="34" xfId="56" applyFont="1" applyFill="1" applyBorder="1" applyAlignment="1">
      <alignment horizontal="left" vertical="top" wrapText="1"/>
      <protection/>
    </xf>
    <xf numFmtId="0" fontId="6" fillId="0" borderId="36" xfId="56" applyFont="1" applyFill="1" applyBorder="1" applyAlignment="1">
      <alignment horizontal="left" vertical="top" wrapText="1"/>
      <protection/>
    </xf>
    <xf numFmtId="0" fontId="6" fillId="0" borderId="37" xfId="56" applyFont="1" applyFill="1" applyBorder="1" applyAlignment="1">
      <alignment horizontal="left" vertical="top" wrapText="1"/>
      <protection/>
    </xf>
    <xf numFmtId="0" fontId="53" fillId="38" borderId="32" xfId="56" applyFont="1" applyFill="1" applyBorder="1" applyAlignment="1">
      <alignment horizontal="center" vertical="top" wrapText="1"/>
      <protection/>
    </xf>
    <xf numFmtId="0" fontId="53" fillId="38" borderId="34" xfId="56" applyFont="1" applyFill="1" applyBorder="1" applyAlignment="1">
      <alignment horizontal="center" vertical="top" wrapText="1"/>
      <protection/>
    </xf>
    <xf numFmtId="0" fontId="4" fillId="0" borderId="32" xfId="56" applyFont="1" applyFill="1" applyBorder="1" applyAlignment="1">
      <alignment horizontal="center" vertical="top" wrapText="1"/>
      <protection/>
    </xf>
    <xf numFmtId="0" fontId="4" fillId="0" borderId="34" xfId="56" applyFont="1" applyFill="1" applyBorder="1" applyAlignment="1">
      <alignment horizontal="center" vertical="top" wrapText="1"/>
      <protection/>
    </xf>
    <xf numFmtId="178" fontId="4" fillId="38" borderId="32" xfId="0" applyNumberFormat="1" applyFont="1" applyFill="1" applyBorder="1" applyAlignment="1">
      <alignment horizontal="left" vertical="center" wrapText="1"/>
    </xf>
    <xf numFmtId="0" fontId="121" fillId="0" borderId="34" xfId="0" applyFont="1" applyBorder="1" applyAlignment="1">
      <alignment horizontal="left" vertical="center"/>
    </xf>
    <xf numFmtId="178" fontId="4" fillId="38" borderId="32" xfId="0" applyNumberFormat="1" applyFont="1" applyFill="1" applyBorder="1" applyAlignment="1">
      <alignment horizontal="center" vertical="center"/>
    </xf>
    <xf numFmtId="0" fontId="6" fillId="0" borderId="15" xfId="56" applyFont="1" applyFill="1" applyBorder="1" applyAlignment="1">
      <alignment horizontal="left" vertical="center" wrapText="1"/>
      <protection/>
    </xf>
    <xf numFmtId="0" fontId="4" fillId="0" borderId="15" xfId="56" applyFont="1" applyFill="1" applyBorder="1" applyAlignment="1">
      <alignment horizontal="left" vertical="center" wrapText="1"/>
      <protection/>
    </xf>
    <xf numFmtId="0" fontId="6" fillId="38" borderId="36" xfId="56" applyFont="1" applyFill="1" applyBorder="1" applyAlignment="1">
      <alignment horizontal="center" vertical="top" wrapText="1"/>
      <protection/>
    </xf>
    <xf numFmtId="0" fontId="6" fillId="38" borderId="37" xfId="56" applyFont="1" applyFill="1" applyBorder="1" applyAlignment="1">
      <alignment horizontal="center" vertical="top" wrapText="1"/>
      <protection/>
    </xf>
    <xf numFmtId="0" fontId="6" fillId="0" borderId="45" xfId="56" applyFont="1" applyFill="1" applyBorder="1" applyAlignment="1">
      <alignment horizontal="center" vertical="center" wrapText="1"/>
      <protection/>
    </xf>
    <xf numFmtId="177" fontId="4" fillId="0" borderId="32" xfId="0" applyNumberFormat="1" applyFont="1" applyBorder="1" applyAlignment="1">
      <alignment horizontal="left" vertical="center" wrapText="1"/>
    </xf>
    <xf numFmtId="0" fontId="121" fillId="0" borderId="41" xfId="0" applyFont="1" applyBorder="1" applyAlignment="1">
      <alignment horizontal="left" vertical="center"/>
    </xf>
    <xf numFmtId="0" fontId="6" fillId="0" borderId="45" xfId="56" applyFont="1" applyFill="1" applyBorder="1" applyAlignment="1">
      <alignment horizontal="left" vertical="center" wrapText="1"/>
      <protection/>
    </xf>
    <xf numFmtId="172" fontId="4" fillId="20" borderId="32" xfId="56" applyNumberFormat="1" applyFont="1" applyFill="1" applyBorder="1" applyAlignment="1">
      <alignment horizontal="center" vertical="center" wrapText="1"/>
      <protection/>
    </xf>
    <xf numFmtId="172" fontId="4" fillId="20" borderId="41" xfId="56" applyNumberFormat="1" applyFont="1" applyFill="1" applyBorder="1" applyAlignment="1">
      <alignment horizontal="center" vertical="center" wrapText="1"/>
      <protection/>
    </xf>
    <xf numFmtId="172" fontId="4" fillId="20" borderId="34" xfId="56" applyNumberFormat="1" applyFont="1" applyFill="1" applyBorder="1" applyAlignment="1">
      <alignment horizontal="center" vertical="center" wrapText="1"/>
      <protection/>
    </xf>
    <xf numFmtId="0" fontId="4" fillId="0" borderId="41" xfId="56" applyFont="1" applyFill="1" applyBorder="1" applyAlignment="1">
      <alignment horizontal="center" vertical="top" wrapText="1"/>
      <protection/>
    </xf>
    <xf numFmtId="176" fontId="6" fillId="0" borderId="32" xfId="56" applyNumberFormat="1" applyFont="1" applyFill="1" applyBorder="1" applyAlignment="1">
      <alignment horizontal="center" vertical="center" wrapText="1"/>
      <protection/>
    </xf>
    <xf numFmtId="174" fontId="4" fillId="20" borderId="41" xfId="93" applyNumberFormat="1" applyFont="1" applyFill="1" applyBorder="1" applyAlignment="1">
      <alignment vertical="center"/>
    </xf>
    <xf numFmtId="0" fontId="4" fillId="0" borderId="41" xfId="56" applyFont="1" applyFill="1" applyBorder="1" applyAlignment="1">
      <alignment horizontal="left" vertical="center" wrapText="1"/>
      <protection/>
    </xf>
    <xf numFmtId="0" fontId="6" fillId="38" borderId="36" xfId="56" applyFont="1" applyFill="1" applyBorder="1" applyAlignment="1">
      <alignment horizontal="center" vertical="center" wrapText="1"/>
      <protection/>
    </xf>
    <xf numFmtId="0" fontId="6" fillId="38" borderId="45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left" vertical="top" wrapText="1"/>
      <protection/>
    </xf>
    <xf numFmtId="177" fontId="7" fillId="0" borderId="4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38" borderId="3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38" borderId="15" xfId="56" applyFont="1" applyFill="1" applyBorder="1" applyAlignment="1">
      <alignment horizontal="left" vertical="center" wrapText="1"/>
      <protection/>
    </xf>
    <xf numFmtId="177" fontId="7" fillId="0" borderId="32" xfId="0" applyNumberFormat="1" applyFont="1" applyBorder="1" applyAlignment="1">
      <alignment horizontal="center" vertical="center"/>
    </xf>
    <xf numFmtId="177" fontId="7" fillId="0" borderId="41" xfId="0" applyNumberFormat="1" applyFont="1" applyBorder="1" applyAlignment="1">
      <alignment horizontal="center" vertical="center"/>
    </xf>
    <xf numFmtId="0" fontId="0" fillId="38" borderId="41" xfId="0" applyFill="1" applyBorder="1" applyAlignment="1">
      <alignment horizontal="left" vertical="center" wrapText="1"/>
    </xf>
    <xf numFmtId="0" fontId="0" fillId="38" borderId="34" xfId="0" applyFill="1" applyBorder="1" applyAlignment="1">
      <alignment horizontal="left" vertical="center" wrapText="1"/>
    </xf>
    <xf numFmtId="0" fontId="0" fillId="38" borderId="41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20" borderId="41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177" fontId="7" fillId="0" borderId="32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8" borderId="32" xfId="56" applyFont="1" applyFill="1" applyBorder="1" applyAlignment="1">
      <alignment horizontal="left" vertical="center" wrapText="1"/>
      <protection/>
    </xf>
    <xf numFmtId="0" fontId="6" fillId="38" borderId="41" xfId="56" applyFont="1" applyFill="1" applyBorder="1" applyAlignment="1">
      <alignment horizontal="left" vertical="center" wrapText="1"/>
      <protection/>
    </xf>
    <xf numFmtId="177" fontId="7" fillId="0" borderId="37" xfId="0" applyNumberFormat="1" applyFont="1" applyBorder="1" applyAlignment="1">
      <alignment horizontal="center" vertical="center"/>
    </xf>
    <xf numFmtId="178" fontId="2" fillId="38" borderId="63" xfId="0" applyNumberFormat="1" applyFont="1" applyFill="1" applyBorder="1" applyAlignment="1">
      <alignment horizontal="center" vertical="center"/>
    </xf>
    <xf numFmtId="0" fontId="4" fillId="44" borderId="32" xfId="56" applyFont="1" applyFill="1" applyBorder="1" applyAlignment="1">
      <alignment horizontal="left" vertical="center" wrapText="1"/>
      <protection/>
    </xf>
    <xf numFmtId="0" fontId="0" fillId="44" borderId="34" xfId="0" applyFill="1" applyBorder="1" applyAlignment="1">
      <alignment horizontal="left" vertical="center" wrapText="1"/>
    </xf>
    <xf numFmtId="0" fontId="4" fillId="44" borderId="32" xfId="56" applyFont="1" applyFill="1" applyBorder="1" applyAlignment="1">
      <alignment horizontal="left" vertical="top" wrapText="1"/>
      <protection/>
    </xf>
    <xf numFmtId="0" fontId="0" fillId="44" borderId="34" xfId="0" applyFill="1" applyBorder="1" applyAlignment="1">
      <alignment horizontal="left" vertical="top" wrapText="1"/>
    </xf>
    <xf numFmtId="0" fontId="0" fillId="44" borderId="41" xfId="0" applyFill="1" applyBorder="1" applyAlignment="1">
      <alignment horizontal="left" vertical="center" wrapText="1"/>
    </xf>
    <xf numFmtId="0" fontId="0" fillId="44" borderId="41" xfId="0" applyFill="1" applyBorder="1" applyAlignment="1">
      <alignment horizontal="left" wrapText="1"/>
    </xf>
    <xf numFmtId="0" fontId="0" fillId="44" borderId="34" xfId="0" applyFill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45" borderId="42" xfId="0" applyFont="1" applyFill="1" applyBorder="1" applyAlignment="1">
      <alignment horizontal="center" vertical="center"/>
    </xf>
    <xf numFmtId="0" fontId="5" fillId="45" borderId="23" xfId="0" applyFont="1" applyFill="1" applyBorder="1" applyAlignment="1">
      <alignment horizontal="center" vertical="center"/>
    </xf>
    <xf numFmtId="0" fontId="5" fillId="45" borderId="11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5" fillId="45" borderId="67" xfId="0" applyFont="1" applyFill="1" applyBorder="1" applyAlignment="1">
      <alignment horizontal="center" vertical="center" wrapText="1"/>
    </xf>
    <xf numFmtId="0" fontId="5" fillId="45" borderId="61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6" fillId="45" borderId="0" xfId="0" applyFont="1" applyFill="1" applyBorder="1" applyAlignment="1">
      <alignment vertical="center"/>
    </xf>
    <xf numFmtId="0" fontId="5" fillId="45" borderId="42" xfId="0" applyFont="1" applyFill="1" applyBorder="1" applyAlignment="1">
      <alignment horizontal="center" vertical="center" wrapText="1"/>
    </xf>
    <xf numFmtId="0" fontId="5" fillId="45" borderId="23" xfId="0" applyFont="1" applyFill="1" applyBorder="1" applyAlignment="1">
      <alignment horizontal="center" vertical="center" wrapText="1"/>
    </xf>
    <xf numFmtId="0" fontId="5" fillId="45" borderId="16" xfId="0" applyFont="1" applyFill="1" applyBorder="1" applyAlignment="1">
      <alignment horizontal="center" vertical="center" wrapText="1"/>
    </xf>
    <xf numFmtId="0" fontId="5" fillId="45" borderId="61" xfId="0" applyFont="1" applyFill="1" applyBorder="1" applyAlignment="1">
      <alignment horizontal="left" vertical="center" wrapText="1"/>
    </xf>
    <xf numFmtId="0" fontId="5" fillId="45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57" xfId="0" applyFont="1" applyBorder="1" applyAlignment="1">
      <alignment vertical="center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3" fontId="5" fillId="33" borderId="42" xfId="0" applyNumberFormat="1" applyFont="1" applyFill="1" applyBorder="1" applyAlignment="1">
      <alignment horizontal="center" vertical="center" wrapText="1"/>
    </xf>
    <xf numFmtId="173" fontId="5" fillId="33" borderId="23" xfId="0" applyNumberFormat="1" applyFont="1" applyFill="1" applyBorder="1" applyAlignment="1">
      <alignment horizontal="center" vertical="center" wrapText="1"/>
    </xf>
    <xf numFmtId="173" fontId="5" fillId="33" borderId="26" xfId="0" applyNumberFormat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43" xfId="0" applyFont="1" applyFill="1" applyBorder="1" applyAlignment="1">
      <alignment horizontal="center" vertical="center" wrapText="1"/>
    </xf>
    <xf numFmtId="0" fontId="16" fillId="40" borderId="40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67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40" borderId="42" xfId="0" applyFont="1" applyFill="1" applyBorder="1" applyAlignment="1">
      <alignment horizontal="center" vertical="center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61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 wrapText="1"/>
    </xf>
    <xf numFmtId="0" fontId="16" fillId="40" borderId="42" xfId="0" applyFont="1" applyFill="1" applyBorder="1" applyAlignment="1">
      <alignment horizontal="center" vertical="center"/>
    </xf>
    <xf numFmtId="0" fontId="16" fillId="40" borderId="23" xfId="0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left" vertical="center" wrapText="1"/>
    </xf>
    <xf numFmtId="0" fontId="16" fillId="40" borderId="1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42" borderId="53" xfId="0" applyFont="1" applyFill="1" applyBorder="1" applyAlignment="1">
      <alignment vertical="center" wrapText="1"/>
    </xf>
    <xf numFmtId="0" fontId="2" fillId="42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" fillId="42" borderId="18" xfId="0" applyFont="1" applyFill="1" applyBorder="1" applyAlignment="1">
      <alignment vertical="center" wrapText="1"/>
    </xf>
    <xf numFmtId="0" fontId="2" fillId="42" borderId="33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38" borderId="72" xfId="0" applyFont="1" applyFill="1" applyBorder="1" applyAlignment="1">
      <alignment vertical="center" wrapText="1"/>
    </xf>
    <xf numFmtId="0" fontId="2" fillId="38" borderId="18" xfId="0" applyFont="1" applyFill="1" applyBorder="1" applyAlignment="1">
      <alignment vertical="center" wrapText="1"/>
    </xf>
    <xf numFmtId="0" fontId="2" fillId="38" borderId="33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7" fillId="38" borderId="72" xfId="0" applyFont="1" applyFill="1" applyBorder="1" applyAlignment="1">
      <alignment vertical="center" wrapText="1"/>
    </xf>
    <xf numFmtId="0" fontId="7" fillId="38" borderId="18" xfId="0" applyFont="1" applyFill="1" applyBorder="1" applyAlignment="1">
      <alignment vertical="center" wrapText="1"/>
    </xf>
    <xf numFmtId="0" fontId="7" fillId="38" borderId="33" xfId="0" applyFont="1" applyFill="1" applyBorder="1" applyAlignment="1">
      <alignment vertical="center" wrapText="1"/>
    </xf>
    <xf numFmtId="0" fontId="114" fillId="38" borderId="72" xfId="0" applyFont="1" applyFill="1" applyBorder="1" applyAlignment="1">
      <alignment vertical="center" wrapText="1"/>
    </xf>
    <xf numFmtId="0" fontId="114" fillId="38" borderId="18" xfId="0" applyFont="1" applyFill="1" applyBorder="1" applyAlignment="1">
      <alignment vertical="center" wrapText="1"/>
    </xf>
    <xf numFmtId="0" fontId="114" fillId="38" borderId="33" xfId="0" applyFont="1" applyFill="1" applyBorder="1" applyAlignment="1">
      <alignment vertical="center" wrapText="1"/>
    </xf>
    <xf numFmtId="0" fontId="2" fillId="38" borderId="72" xfId="0" applyFont="1" applyFill="1" applyBorder="1" applyAlignment="1">
      <alignment horizontal="left" vertical="top" wrapText="1"/>
    </xf>
    <xf numFmtId="0" fontId="2" fillId="38" borderId="18" xfId="0" applyFont="1" applyFill="1" applyBorder="1" applyAlignment="1">
      <alignment horizontal="left" vertical="top" wrapText="1"/>
    </xf>
    <xf numFmtId="0" fontId="2" fillId="38" borderId="33" xfId="0" applyFont="1" applyFill="1" applyBorder="1" applyAlignment="1">
      <alignment horizontal="left" vertical="top" wrapText="1"/>
    </xf>
    <xf numFmtId="0" fontId="114" fillId="38" borderId="35" xfId="0" applyFont="1" applyFill="1" applyBorder="1" applyAlignment="1">
      <alignment vertical="center" wrapText="1"/>
    </xf>
    <xf numFmtId="0" fontId="3" fillId="38" borderId="15" xfId="0" applyFont="1" applyFill="1" applyBorder="1" applyAlignment="1">
      <alignment vertical="center" wrapText="1"/>
    </xf>
    <xf numFmtId="0" fontId="2" fillId="42" borderId="72" xfId="0" applyFont="1" applyFill="1" applyBorder="1" applyAlignment="1">
      <alignment vertical="center" wrapText="1"/>
    </xf>
    <xf numFmtId="0" fontId="114" fillId="38" borderId="72" xfId="0" applyFont="1" applyFill="1" applyBorder="1" applyAlignment="1">
      <alignment horizontal="left" wrapText="1"/>
    </xf>
    <xf numFmtId="0" fontId="114" fillId="38" borderId="18" xfId="0" applyFont="1" applyFill="1" applyBorder="1" applyAlignment="1">
      <alignment horizontal="left" wrapText="1"/>
    </xf>
    <xf numFmtId="0" fontId="114" fillId="38" borderId="33" xfId="0" applyFont="1" applyFill="1" applyBorder="1" applyAlignment="1">
      <alignment horizontal="left" wrapText="1"/>
    </xf>
    <xf numFmtId="0" fontId="7" fillId="38" borderId="73" xfId="0" applyFont="1" applyFill="1" applyBorder="1" applyAlignment="1">
      <alignment vertical="center" wrapText="1"/>
    </xf>
    <xf numFmtId="0" fontId="7" fillId="38" borderId="74" xfId="0" applyFont="1" applyFill="1" applyBorder="1" applyAlignment="1">
      <alignment vertical="center" wrapText="1"/>
    </xf>
    <xf numFmtId="0" fontId="7" fillId="38" borderId="73" xfId="0" applyFont="1" applyFill="1" applyBorder="1" applyAlignment="1">
      <alignment horizontal="left" vertical="center" wrapText="1"/>
    </xf>
    <xf numFmtId="0" fontId="7" fillId="38" borderId="74" xfId="0" applyFont="1" applyFill="1" applyBorder="1" applyAlignment="1">
      <alignment horizontal="left" vertical="center" wrapText="1"/>
    </xf>
    <xf numFmtId="0" fontId="16" fillId="40" borderId="11" xfId="0" applyFont="1" applyFill="1" applyBorder="1" applyAlignment="1">
      <alignment horizontal="center" vertical="center"/>
    </xf>
    <xf numFmtId="0" fontId="15" fillId="38" borderId="61" xfId="0" applyFont="1" applyFill="1" applyBorder="1" applyAlignment="1">
      <alignment vertical="center" wrapText="1"/>
    </xf>
    <xf numFmtId="0" fontId="15" fillId="38" borderId="14" xfId="0" applyFont="1" applyFill="1" applyBorder="1" applyAlignment="1">
      <alignment vertical="center" wrapText="1"/>
    </xf>
    <xf numFmtId="0" fontId="15" fillId="38" borderId="13" xfId="0" applyFont="1" applyFill="1" applyBorder="1" applyAlignment="1">
      <alignment vertical="center" wrapText="1"/>
    </xf>
    <xf numFmtId="0" fontId="7" fillId="38" borderId="15" xfId="0" applyFont="1" applyFill="1" applyBorder="1" applyAlignment="1">
      <alignment vertical="center" wrapText="1"/>
    </xf>
    <xf numFmtId="0" fontId="42" fillId="38" borderId="75" xfId="0" applyFont="1" applyFill="1" applyBorder="1" applyAlignment="1">
      <alignment horizontal="left" vertical="top" wrapText="1"/>
    </xf>
    <xf numFmtId="0" fontId="42" fillId="38" borderId="57" xfId="0" applyFont="1" applyFill="1" applyBorder="1" applyAlignment="1">
      <alignment horizontal="left" vertical="top" wrapText="1"/>
    </xf>
    <xf numFmtId="0" fontId="42" fillId="38" borderId="0" xfId="0" applyFont="1" applyFill="1" applyBorder="1" applyAlignment="1">
      <alignment horizontal="left" vertical="top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114" fillId="38" borderId="72" xfId="0" applyFont="1" applyFill="1" applyBorder="1" applyAlignment="1">
      <alignment horizontal="left" vertical="center" wrapText="1"/>
    </xf>
    <xf numFmtId="0" fontId="114" fillId="38" borderId="18" xfId="0" applyFont="1" applyFill="1" applyBorder="1" applyAlignment="1">
      <alignment horizontal="left" vertical="center" wrapText="1"/>
    </xf>
    <xf numFmtId="0" fontId="114" fillId="38" borderId="33" xfId="0" applyFont="1" applyFill="1" applyBorder="1" applyAlignment="1">
      <alignment horizontal="left" vertical="center" wrapText="1"/>
    </xf>
    <xf numFmtId="0" fontId="2" fillId="38" borderId="61" xfId="0" applyFont="1" applyFill="1" applyBorder="1" applyAlignment="1">
      <alignment vertical="center" wrapText="1"/>
    </xf>
    <xf numFmtId="0" fontId="2" fillId="38" borderId="14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114" fillId="38" borderId="15" xfId="0" applyFont="1" applyFill="1" applyBorder="1" applyAlignment="1">
      <alignment vertical="center" wrapText="1"/>
    </xf>
    <xf numFmtId="0" fontId="44" fillId="38" borderId="72" xfId="0" applyFont="1" applyFill="1" applyBorder="1" applyAlignment="1">
      <alignment horizontal="left" vertical="top" wrapText="1"/>
    </xf>
    <xf numFmtId="0" fontId="44" fillId="38" borderId="18" xfId="0" applyFont="1" applyFill="1" applyBorder="1" applyAlignment="1">
      <alignment horizontal="left" vertical="top" wrapText="1"/>
    </xf>
    <xf numFmtId="0" fontId="44" fillId="38" borderId="33" xfId="0" applyFont="1" applyFill="1" applyBorder="1" applyAlignment="1">
      <alignment horizontal="left" vertical="top" wrapText="1"/>
    </xf>
    <xf numFmtId="0" fontId="44" fillId="38" borderId="75" xfId="0" applyFont="1" applyFill="1" applyBorder="1" applyAlignment="1">
      <alignment horizontal="left" vertical="top" wrapText="1"/>
    </xf>
    <xf numFmtId="0" fontId="44" fillId="38" borderId="57" xfId="0" applyFont="1" applyFill="1" applyBorder="1" applyAlignment="1">
      <alignment horizontal="left" vertical="top" wrapText="1"/>
    </xf>
    <xf numFmtId="0" fontId="44" fillId="38" borderId="0" xfId="0" applyFont="1" applyFill="1" applyBorder="1" applyAlignment="1">
      <alignment horizontal="left" vertical="top" wrapText="1"/>
    </xf>
    <xf numFmtId="0" fontId="44" fillId="38" borderId="76" xfId="0" applyFont="1" applyFill="1" applyBorder="1" applyAlignment="1">
      <alignment horizontal="left" vertical="top" wrapText="1"/>
    </xf>
    <xf numFmtId="0" fontId="44" fillId="38" borderId="73" xfId="0" applyFont="1" applyFill="1" applyBorder="1" applyAlignment="1">
      <alignment horizontal="left" vertical="top" wrapText="1"/>
    </xf>
    <xf numFmtId="0" fontId="44" fillId="38" borderId="74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67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16" fillId="40" borderId="27" xfId="0" applyFont="1" applyFill="1" applyBorder="1" applyAlignment="1">
      <alignment horizontal="center" vertical="center" wrapText="1"/>
    </xf>
    <xf numFmtId="0" fontId="16" fillId="40" borderId="29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 wrapText="1"/>
    </xf>
    <xf numFmtId="0" fontId="115" fillId="0" borderId="13" xfId="0" applyFont="1" applyBorder="1" applyAlignment="1">
      <alignment horizontal="center" vertical="center" wrapText="1"/>
    </xf>
    <xf numFmtId="0" fontId="115" fillId="0" borderId="43" xfId="0" applyFont="1" applyBorder="1" applyAlignment="1">
      <alignment/>
    </xf>
    <xf numFmtId="0" fontId="29" fillId="0" borderId="46" xfId="57" applyFont="1" applyBorder="1" applyAlignment="1">
      <alignment horizontal="left"/>
      <protection/>
    </xf>
    <xf numFmtId="0" fontId="29" fillId="0" borderId="46" xfId="69" applyFont="1" applyBorder="1" applyAlignment="1">
      <alignment horizontal="left"/>
      <protection/>
    </xf>
    <xf numFmtId="174" fontId="4" fillId="37" borderId="32" xfId="93" applyNumberFormat="1" applyFont="1" applyFill="1" applyBorder="1" applyAlignment="1">
      <alignment vertical="center"/>
    </xf>
    <xf numFmtId="174" fontId="4" fillId="37" borderId="41" xfId="93" applyNumberFormat="1" applyFont="1" applyFill="1" applyBorder="1" applyAlignment="1">
      <alignment vertical="center"/>
    </xf>
    <xf numFmtId="174" fontId="4" fillId="37" borderId="34" xfId="93" applyNumberFormat="1" applyFont="1" applyFill="1" applyBorder="1" applyAlignment="1">
      <alignment vertical="center"/>
    </xf>
    <xf numFmtId="0" fontId="0" fillId="0" borderId="34" xfId="0" applyBorder="1" applyAlignment="1">
      <alignment/>
    </xf>
    <xf numFmtId="172" fontId="4" fillId="0" borderId="32" xfId="56" applyNumberFormat="1" applyFont="1" applyFill="1" applyBorder="1" applyAlignment="1">
      <alignment horizontal="center" vertical="center" wrapText="1"/>
      <protection/>
    </xf>
    <xf numFmtId="172" fontId="4" fillId="0" borderId="41" xfId="56" applyNumberFormat="1" applyFont="1" applyFill="1" applyBorder="1" applyAlignment="1">
      <alignment horizontal="center" vertical="center" wrapText="1"/>
      <protection/>
    </xf>
    <xf numFmtId="172" fontId="4" fillId="0" borderId="34" xfId="56" applyNumberFormat="1" applyFont="1" applyFill="1" applyBorder="1" applyAlignment="1">
      <alignment horizontal="center" vertical="center" wrapText="1"/>
      <protection/>
    </xf>
    <xf numFmtId="0" fontId="4" fillId="0" borderId="32" xfId="56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 wrapText="1"/>
      <protection/>
    </xf>
    <xf numFmtId="0" fontId="4" fillId="0" borderId="34" xfId="56" applyFont="1" applyFill="1" applyBorder="1" applyAlignment="1">
      <alignment horizontal="right" vertical="center" wrapText="1"/>
      <protection/>
    </xf>
    <xf numFmtId="9" fontId="4" fillId="0" borderId="32" xfId="56" applyNumberFormat="1" applyFont="1" applyFill="1" applyBorder="1" applyAlignment="1">
      <alignment horizontal="center" vertical="center" wrapText="1"/>
      <protection/>
    </xf>
    <xf numFmtId="9" fontId="4" fillId="0" borderId="34" xfId="56" applyNumberFormat="1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vertical="top" wrapText="1"/>
      <protection/>
    </xf>
    <xf numFmtId="0" fontId="0" fillId="0" borderId="34" xfId="0" applyBorder="1" applyAlignment="1">
      <alignment vertical="top" wrapText="1"/>
    </xf>
    <xf numFmtId="176" fontId="4" fillId="0" borderId="32" xfId="56" applyNumberFormat="1" applyFont="1" applyFill="1" applyBorder="1" applyAlignment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right" vertical="center" wrapText="1"/>
    </xf>
    <xf numFmtId="174" fontId="4" fillId="0" borderId="32" xfId="93" applyNumberFormat="1" applyFont="1" applyFill="1" applyBorder="1" applyAlignment="1">
      <alignment horizontal="center" vertical="center"/>
    </xf>
    <xf numFmtId="174" fontId="4" fillId="0" borderId="34" xfId="93" applyNumberFormat="1" applyFont="1" applyFill="1" applyBorder="1" applyAlignment="1">
      <alignment horizontal="center" vertical="center"/>
    </xf>
    <xf numFmtId="0" fontId="6" fillId="0" borderId="36" xfId="56" applyFont="1" applyFill="1" applyBorder="1" applyAlignment="1">
      <alignment horizontal="center" vertical="top" wrapText="1"/>
      <protection/>
    </xf>
    <xf numFmtId="0" fontId="6" fillId="0" borderId="37" xfId="56" applyFont="1" applyFill="1" applyBorder="1" applyAlignment="1">
      <alignment horizontal="center" vertical="top" wrapText="1"/>
      <protection/>
    </xf>
    <xf numFmtId="3" fontId="4" fillId="0" borderId="32" xfId="56" applyNumberFormat="1" applyFont="1" applyFill="1" applyBorder="1" applyAlignment="1">
      <alignment horizontal="center" vertical="center" wrapText="1"/>
      <protection/>
    </xf>
    <xf numFmtId="3" fontId="4" fillId="0" borderId="34" xfId="56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6" fillId="0" borderId="33" xfId="56" applyFont="1" applyFill="1" applyBorder="1" applyAlignment="1">
      <alignment horizontal="center" vertical="center" wrapText="1"/>
      <protection/>
    </xf>
    <xf numFmtId="0" fontId="4" fillId="35" borderId="32" xfId="0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_09.04.2014_Programme budget 2014_Education_Modified" xfId="56"/>
    <cellStyle name="Обычный 3" xfId="57"/>
    <cellStyle name="Обычный 3 2" xfId="58"/>
    <cellStyle name="Обычный 3 3" xfId="59"/>
    <cellStyle name="Обычный 3 3 2" xfId="60"/>
    <cellStyle name="Обычный 3 3 2 2" xfId="61"/>
    <cellStyle name="Обычный 3 3 2_+программный бюджет Айка" xfId="62"/>
    <cellStyle name="Обычный 3 3 3" xfId="63"/>
    <cellStyle name="Обычный 3 3_+программный бюджет Айка" xfId="64"/>
    <cellStyle name="Обычный 3 4" xfId="65"/>
    <cellStyle name="Обычный 3 4 2" xfId="66"/>
    <cellStyle name="Обычный 3 4_+программный бюджет Айка" xfId="67"/>
    <cellStyle name="Обычный 3 5" xfId="68"/>
    <cellStyle name="Обычный 3_+программный бюджет Айка" xfId="69"/>
    <cellStyle name="Обычный 4" xfId="70"/>
    <cellStyle name="Обычный 4 2" xfId="71"/>
    <cellStyle name="Обычный 4 2 2" xfId="72"/>
    <cellStyle name="Обычный 4 2_+программный бюджет Айка" xfId="73"/>
    <cellStyle name="Обычный 4 3" xfId="74"/>
    <cellStyle name="Обычный 4_+программный бюджет Айка" xfId="75"/>
    <cellStyle name="Обычный 5" xfId="76"/>
    <cellStyle name="Обычный 6" xfId="77"/>
    <cellStyle name="Обычный 6 2" xfId="78"/>
    <cellStyle name="Обычный 6 2 2" xfId="79"/>
    <cellStyle name="Обычный 6 2_+программный бюджет Айка" xfId="80"/>
    <cellStyle name="Обычный 6 3" xfId="81"/>
    <cellStyle name="Обычный 6_+программный бюджет Айка" xfId="82"/>
    <cellStyle name="Обычный_Таблицы СПБ_ 2015-2017_МТММ_12.04.2014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2 2" xfId="90"/>
    <cellStyle name="Связанная ячейка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 2 2" xfId="97"/>
    <cellStyle name="Финансовый 2 2 2 2" xfId="98"/>
    <cellStyle name="Финансовый 2 2 3" xfId="99"/>
    <cellStyle name="Финансовый 3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+&#1055;&#1088;&#1086;&#1075;&#1088;&#1072;&#1084;&#1084;&#1085;&#1099;&#1081;%20&#1073;&#1102;&#1076;&#1078;&#1077;&#1090;%20&#1052;&#1054;&#1053;%20&#1085;&#1072;%202015-2017_&#1074;%20&#1087;&#1077;&#1095;&#1072;&#1090;&#1100;_11.08.2014.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  <sheetName val="Приложение  4"/>
      <sheetName val="Приложение 1-1"/>
      <sheetName val="Приложение 5"/>
      <sheetName val="Приложение 9-1"/>
      <sheetName val="Приложение 9-2"/>
    </sheetNames>
    <sheetDataSet>
      <sheetData sheetId="1">
        <row r="10">
          <cell r="B10">
            <v>196115.7</v>
          </cell>
          <cell r="E10">
            <v>888.9</v>
          </cell>
        </row>
        <row r="13">
          <cell r="B13">
            <v>199868.8</v>
          </cell>
        </row>
        <row r="14">
          <cell r="B14">
            <v>707202.6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86" zoomScaleNormal="86" zoomScalePageLayoutView="0" workbookViewId="0" topLeftCell="A16">
      <selection activeCell="I21" sqref="I21"/>
    </sheetView>
  </sheetViews>
  <sheetFormatPr defaultColWidth="9.140625" defaultRowHeight="12.75"/>
  <cols>
    <col min="1" max="1" width="6.57421875" style="12" customWidth="1"/>
    <col min="2" max="2" width="8.57421875" style="83" customWidth="1"/>
    <col min="3" max="3" width="40.7109375" style="144" customWidth="1"/>
    <col min="4" max="4" width="17.7109375" style="136" customWidth="1"/>
    <col min="5" max="5" width="22.28125" style="82" customWidth="1"/>
    <col min="6" max="6" width="16.00390625" style="100" customWidth="1"/>
    <col min="7" max="7" width="18.28125" style="99" customWidth="1"/>
    <col min="8" max="8" width="19.8515625" style="100" customWidth="1"/>
    <col min="9" max="9" width="19.28125" style="100" customWidth="1"/>
    <col min="10" max="10" width="23.00390625" style="82" customWidth="1"/>
    <col min="11" max="11" width="10.28125" style="100" customWidth="1"/>
    <col min="12" max="12" width="11.28125" style="83" customWidth="1"/>
    <col min="13" max="13" width="10.140625" style="83" customWidth="1"/>
    <col min="14" max="14" width="9.7109375" style="83" customWidth="1"/>
    <col min="15" max="15" width="10.140625" style="101" customWidth="1"/>
    <col min="16" max="16" width="9.140625" style="12" hidden="1" customWidth="1"/>
    <col min="17" max="17" width="10.140625" style="101" customWidth="1"/>
    <col min="18" max="18" width="20.8515625" style="12" customWidth="1"/>
    <col min="19" max="19" width="12.00390625" style="12" customWidth="1"/>
    <col min="20" max="16384" width="9.140625" style="12" customWidth="1"/>
  </cols>
  <sheetData>
    <row r="1" spans="2:6" ht="15.75">
      <c r="B1" s="101"/>
      <c r="C1" s="137"/>
      <c r="D1" s="134"/>
      <c r="E1" s="81"/>
      <c r="F1" s="146"/>
    </row>
    <row r="2" spans="2:8" ht="15.75">
      <c r="B2" s="101"/>
      <c r="C2" s="137"/>
      <c r="D2" s="134"/>
      <c r="E2" s="81"/>
      <c r="F2" s="146"/>
      <c r="H2" s="102"/>
    </row>
    <row r="3" spans="2:17" s="10" customFormat="1" ht="15">
      <c r="B3" s="138"/>
      <c r="C3" s="138"/>
      <c r="D3" s="14"/>
      <c r="E3" s="14"/>
      <c r="F3" s="147"/>
      <c r="G3" s="103"/>
      <c r="H3" s="104"/>
      <c r="I3" s="103"/>
      <c r="J3" s="103"/>
      <c r="K3" s="103"/>
      <c r="L3" s="83"/>
      <c r="M3" s="83"/>
      <c r="N3" s="83"/>
      <c r="O3" s="83"/>
      <c r="Q3" s="83"/>
    </row>
    <row r="4" spans="2:17" s="10" customFormat="1" ht="21" customHeight="1">
      <c r="B4" s="138"/>
      <c r="C4" s="139"/>
      <c r="D4" s="135"/>
      <c r="E4" s="83"/>
      <c r="F4" s="147"/>
      <c r="G4" s="103"/>
      <c r="H4" s="104"/>
      <c r="I4" s="103"/>
      <c r="J4" s="103"/>
      <c r="K4" s="103"/>
      <c r="L4" s="83"/>
      <c r="M4" s="83"/>
      <c r="N4" s="83"/>
      <c r="O4" s="83"/>
      <c r="Q4" s="83"/>
    </row>
    <row r="5" spans="2:6" ht="15.75">
      <c r="B5" s="101"/>
      <c r="C5" s="101"/>
      <c r="D5" s="134"/>
      <c r="E5" s="81"/>
      <c r="F5" s="146"/>
    </row>
    <row r="6" spans="3:6" ht="15.75">
      <c r="C6" s="139" t="s">
        <v>453</v>
      </c>
      <c r="D6" s="134"/>
      <c r="E6" s="81"/>
      <c r="F6" s="146"/>
    </row>
    <row r="7" spans="3:6" ht="15.75">
      <c r="C7" s="101" t="s">
        <v>242</v>
      </c>
      <c r="D7" s="134"/>
      <c r="E7" s="81"/>
      <c r="F7" s="146"/>
    </row>
    <row r="8" spans="3:6" ht="15.75">
      <c r="C8" s="101"/>
      <c r="D8" s="134"/>
      <c r="E8" s="81"/>
      <c r="F8" s="146"/>
    </row>
    <row r="9" spans="1:17" s="133" customFormat="1" ht="32.25" customHeight="1">
      <c r="A9" s="213" t="s">
        <v>62</v>
      </c>
      <c r="B9" s="213" t="s">
        <v>63</v>
      </c>
      <c r="C9" s="823" t="s">
        <v>139</v>
      </c>
      <c r="D9" s="794" t="s">
        <v>140</v>
      </c>
      <c r="E9" s="801" t="s">
        <v>141</v>
      </c>
      <c r="F9" s="801" t="s">
        <v>142</v>
      </c>
      <c r="G9" s="792" t="s">
        <v>143</v>
      </c>
      <c r="H9" s="793"/>
      <c r="I9" s="794"/>
      <c r="J9" s="798" t="s">
        <v>103</v>
      </c>
      <c r="K9" s="801" t="s">
        <v>136</v>
      </c>
      <c r="L9" s="801" t="s">
        <v>108</v>
      </c>
      <c r="M9" s="708" t="s">
        <v>107</v>
      </c>
      <c r="N9" s="709"/>
      <c r="O9" s="709"/>
      <c r="P9" s="710"/>
      <c r="Q9" s="711"/>
    </row>
    <row r="10" spans="1:17" s="133" customFormat="1" ht="15.75">
      <c r="A10" s="214"/>
      <c r="B10" s="215"/>
      <c r="C10" s="823"/>
      <c r="D10" s="827"/>
      <c r="E10" s="802"/>
      <c r="F10" s="802"/>
      <c r="G10" s="795"/>
      <c r="H10" s="796"/>
      <c r="I10" s="797"/>
      <c r="J10" s="799"/>
      <c r="K10" s="802"/>
      <c r="L10" s="803"/>
      <c r="M10" s="708" t="s">
        <v>109</v>
      </c>
      <c r="N10" s="712"/>
      <c r="O10" s="712"/>
      <c r="P10" s="710"/>
      <c r="Q10" s="711"/>
    </row>
    <row r="11" spans="1:17" s="133" customFormat="1" ht="28.5" customHeight="1">
      <c r="A11" s="235"/>
      <c r="B11" s="217"/>
      <c r="C11" s="823"/>
      <c r="D11" s="797"/>
      <c r="E11" s="803"/>
      <c r="F11" s="803"/>
      <c r="G11" s="106" t="s">
        <v>335</v>
      </c>
      <c r="H11" s="106" t="s">
        <v>403</v>
      </c>
      <c r="I11" s="106" t="s">
        <v>447</v>
      </c>
      <c r="J11" s="800"/>
      <c r="K11" s="803"/>
      <c r="L11" s="626" t="s">
        <v>146</v>
      </c>
      <c r="M11" s="627" t="s">
        <v>451</v>
      </c>
      <c r="N11" s="627" t="s">
        <v>452</v>
      </c>
      <c r="O11" s="627" t="s">
        <v>403</v>
      </c>
      <c r="P11" s="628"/>
      <c r="Q11" s="627" t="s">
        <v>447</v>
      </c>
    </row>
    <row r="12" spans="1:17" ht="89.25" customHeight="1">
      <c r="A12" s="482"/>
      <c r="B12" s="483"/>
      <c r="C12" s="606" t="s">
        <v>39</v>
      </c>
      <c r="D12" s="89" t="s">
        <v>147</v>
      </c>
      <c r="E12" s="84" t="s">
        <v>148</v>
      </c>
      <c r="F12" s="148"/>
      <c r="G12" s="224"/>
      <c r="H12" s="224"/>
      <c r="I12" s="224"/>
      <c r="J12" s="604" t="s">
        <v>17</v>
      </c>
      <c r="K12" s="629" t="s">
        <v>149</v>
      </c>
      <c r="L12" s="630">
        <v>1.3</v>
      </c>
      <c r="M12" s="631">
        <v>1.3</v>
      </c>
      <c r="N12" s="632">
        <v>1.3</v>
      </c>
      <c r="O12" s="631">
        <v>1.3</v>
      </c>
      <c r="P12" s="633"/>
      <c r="Q12" s="631">
        <v>1.3</v>
      </c>
    </row>
    <row r="13" spans="1:17" ht="39.75" customHeight="1">
      <c r="A13" s="855">
        <v>1</v>
      </c>
      <c r="B13" s="857">
        <v>1</v>
      </c>
      <c r="C13" s="828" t="s">
        <v>430</v>
      </c>
      <c r="D13" s="828" t="s">
        <v>147</v>
      </c>
      <c r="E13" s="828" t="s">
        <v>374</v>
      </c>
      <c r="F13" s="828" t="s">
        <v>375</v>
      </c>
      <c r="G13" s="804">
        <v>75464.2</v>
      </c>
      <c r="H13" s="804">
        <f>G13*1%+G13</f>
        <v>76218.842</v>
      </c>
      <c r="I13" s="804">
        <f>H13*1%+H13</f>
        <v>76981.03042000001</v>
      </c>
      <c r="J13" s="605" t="s">
        <v>45</v>
      </c>
      <c r="K13" s="634" t="s">
        <v>51</v>
      </c>
      <c r="L13" s="630">
        <v>29.8</v>
      </c>
      <c r="M13" s="631" t="s">
        <v>183</v>
      </c>
      <c r="N13" s="631" t="s">
        <v>183</v>
      </c>
      <c r="O13" s="631" t="s">
        <v>183</v>
      </c>
      <c r="P13" s="631" t="s">
        <v>183</v>
      </c>
      <c r="Q13" s="631" t="s">
        <v>183</v>
      </c>
    </row>
    <row r="14" spans="1:17" ht="50.25" customHeight="1">
      <c r="A14" s="856"/>
      <c r="B14" s="856"/>
      <c r="C14" s="829" t="s">
        <v>151</v>
      </c>
      <c r="D14" s="829" t="s">
        <v>152</v>
      </c>
      <c r="E14" s="829" t="s">
        <v>30</v>
      </c>
      <c r="F14" s="829"/>
      <c r="G14" s="805">
        <v>4997.3</v>
      </c>
      <c r="H14" s="805">
        <f aca="true" t="shared" si="0" ref="H14:H19">G14*1%+G14</f>
        <v>5047.273</v>
      </c>
      <c r="I14" s="805">
        <f>G14*2%+G14</f>
        <v>5097.246</v>
      </c>
      <c r="J14" s="605" t="s">
        <v>46</v>
      </c>
      <c r="K14" s="634" t="s">
        <v>149</v>
      </c>
      <c r="L14" s="630">
        <v>70</v>
      </c>
      <c r="M14" s="631">
        <v>80</v>
      </c>
      <c r="N14" s="632">
        <v>80</v>
      </c>
      <c r="O14" s="631">
        <v>80</v>
      </c>
      <c r="P14" s="633"/>
      <c r="Q14" s="631">
        <v>80</v>
      </c>
    </row>
    <row r="15" spans="1:17" ht="51.75" customHeight="1">
      <c r="A15" s="856"/>
      <c r="B15" s="856"/>
      <c r="C15" s="829" t="s">
        <v>153</v>
      </c>
      <c r="D15" s="829" t="s">
        <v>152</v>
      </c>
      <c r="E15" s="829" t="s">
        <v>154</v>
      </c>
      <c r="F15" s="829"/>
      <c r="G15" s="805">
        <v>3012.8</v>
      </c>
      <c r="H15" s="805">
        <f t="shared" si="0"/>
        <v>3042.9280000000003</v>
      </c>
      <c r="I15" s="805">
        <f>G15*2%+G15</f>
        <v>3073.056</v>
      </c>
      <c r="J15" s="160" t="s">
        <v>47</v>
      </c>
      <c r="K15" s="634" t="s">
        <v>149</v>
      </c>
      <c r="L15" s="630">
        <v>56</v>
      </c>
      <c r="M15" s="631" t="s">
        <v>183</v>
      </c>
      <c r="N15" s="631" t="s">
        <v>183</v>
      </c>
      <c r="O15" s="631" t="s">
        <v>183</v>
      </c>
      <c r="P15" s="633"/>
      <c r="Q15" s="631" t="s">
        <v>183</v>
      </c>
    </row>
    <row r="16" spans="1:17" ht="56.25" customHeight="1">
      <c r="A16" s="856"/>
      <c r="B16" s="856"/>
      <c r="C16" s="829" t="s">
        <v>155</v>
      </c>
      <c r="D16" s="829" t="s">
        <v>152</v>
      </c>
      <c r="E16" s="829" t="s">
        <v>156</v>
      </c>
      <c r="F16" s="829"/>
      <c r="G16" s="805">
        <v>2425.2</v>
      </c>
      <c r="H16" s="805">
        <f t="shared" si="0"/>
        <v>2449.4519999999998</v>
      </c>
      <c r="I16" s="805">
        <f>G16*2%+G16</f>
        <v>2473.7039999999997</v>
      </c>
      <c r="J16" s="158" t="s">
        <v>48</v>
      </c>
      <c r="K16" s="634" t="s">
        <v>52</v>
      </c>
      <c r="L16" s="630" t="s">
        <v>33</v>
      </c>
      <c r="M16" s="631" t="s">
        <v>183</v>
      </c>
      <c r="N16" s="631" t="s">
        <v>183</v>
      </c>
      <c r="O16" s="631" t="s">
        <v>183</v>
      </c>
      <c r="P16" s="633"/>
      <c r="Q16" s="631" t="s">
        <v>183</v>
      </c>
    </row>
    <row r="17" spans="1:17" ht="60.75" customHeight="1">
      <c r="A17" s="856"/>
      <c r="B17" s="856"/>
      <c r="C17" s="829" t="s">
        <v>157</v>
      </c>
      <c r="D17" s="829" t="s">
        <v>152</v>
      </c>
      <c r="E17" s="829" t="s">
        <v>40</v>
      </c>
      <c r="F17" s="829"/>
      <c r="G17" s="805">
        <v>2548.4</v>
      </c>
      <c r="H17" s="805">
        <f t="shared" si="0"/>
        <v>2573.884</v>
      </c>
      <c r="I17" s="805">
        <f>G17*2%+G17</f>
        <v>2599.368</v>
      </c>
      <c r="J17" s="158" t="s">
        <v>49</v>
      </c>
      <c r="K17" s="634" t="s">
        <v>170</v>
      </c>
      <c r="L17" s="630">
        <v>128</v>
      </c>
      <c r="M17" s="631" t="s">
        <v>183</v>
      </c>
      <c r="N17" s="631" t="s">
        <v>183</v>
      </c>
      <c r="O17" s="631" t="s">
        <v>183</v>
      </c>
      <c r="P17" s="633"/>
      <c r="Q17" s="631" t="s">
        <v>183</v>
      </c>
    </row>
    <row r="18" spans="1:17" ht="92.25" customHeight="1">
      <c r="A18" s="856"/>
      <c r="B18" s="858"/>
      <c r="C18" s="829" t="s">
        <v>66</v>
      </c>
      <c r="D18" s="829"/>
      <c r="E18" s="829"/>
      <c r="F18" s="829"/>
      <c r="G18" s="805">
        <v>2974</v>
      </c>
      <c r="H18" s="805">
        <f t="shared" si="0"/>
        <v>3003.74</v>
      </c>
      <c r="I18" s="805">
        <f>G18*2%+G18</f>
        <v>3033.48</v>
      </c>
      <c r="J18" s="158" t="s">
        <v>50</v>
      </c>
      <c r="K18" s="634" t="s">
        <v>149</v>
      </c>
      <c r="L18" s="630">
        <v>18</v>
      </c>
      <c r="M18" s="631" t="s">
        <v>183</v>
      </c>
      <c r="N18" s="631" t="s">
        <v>183</v>
      </c>
      <c r="O18" s="631" t="s">
        <v>183</v>
      </c>
      <c r="P18" s="633"/>
      <c r="Q18" s="631" t="s">
        <v>183</v>
      </c>
    </row>
    <row r="19" spans="1:17" ht="99.75" customHeight="1">
      <c r="A19" s="216">
        <v>1</v>
      </c>
      <c r="B19" s="217">
        <v>2</v>
      </c>
      <c r="C19" s="287" t="s">
        <v>431</v>
      </c>
      <c r="D19" s="87" t="s">
        <v>147</v>
      </c>
      <c r="E19" s="86" t="s">
        <v>68</v>
      </c>
      <c r="F19" s="149"/>
      <c r="G19" s="663">
        <v>671582.9</v>
      </c>
      <c r="H19" s="663">
        <f t="shared" si="0"/>
        <v>678298.729</v>
      </c>
      <c r="I19" s="663">
        <f>H19*1%+H19</f>
        <v>685081.71629</v>
      </c>
      <c r="J19" s="86" t="s">
        <v>429</v>
      </c>
      <c r="K19" s="635" t="s">
        <v>149</v>
      </c>
      <c r="L19" s="630"/>
      <c r="M19" s="630" t="s">
        <v>183</v>
      </c>
      <c r="N19" s="630" t="s">
        <v>183</v>
      </c>
      <c r="O19" s="630" t="s">
        <v>183</v>
      </c>
      <c r="P19" s="630" t="s">
        <v>183</v>
      </c>
      <c r="Q19" s="630" t="s">
        <v>183</v>
      </c>
    </row>
    <row r="20" spans="1:17" ht="15.75">
      <c r="A20" s="482"/>
      <c r="B20" s="483"/>
      <c r="C20" s="162" t="s">
        <v>160</v>
      </c>
      <c r="D20" s="163"/>
      <c r="E20" s="162"/>
      <c r="F20" s="225"/>
      <c r="G20" s="165">
        <f>G19+G13</f>
        <v>747047.1</v>
      </c>
      <c r="H20" s="165">
        <f>H19+H13</f>
        <v>754517.571</v>
      </c>
      <c r="I20" s="165">
        <f>I19+I13</f>
        <v>762062.74671</v>
      </c>
      <c r="J20" s="162"/>
      <c r="K20" s="636"/>
      <c r="L20" s="630"/>
      <c r="M20" s="631"/>
      <c r="N20" s="632"/>
      <c r="O20" s="631"/>
      <c r="P20" s="633"/>
      <c r="Q20" s="631"/>
    </row>
    <row r="21" spans="1:17" ht="133.5" customHeight="1">
      <c r="A21" s="482"/>
      <c r="B21" s="483"/>
      <c r="C21" s="607" t="s">
        <v>404</v>
      </c>
      <c r="D21" s="608" t="s">
        <v>161</v>
      </c>
      <c r="E21" s="607" t="s">
        <v>162</v>
      </c>
      <c r="F21" s="445"/>
      <c r="G21" s="118"/>
      <c r="H21" s="107"/>
      <c r="I21" s="107"/>
      <c r="J21" s="600" t="s">
        <v>417</v>
      </c>
      <c r="K21" s="637" t="s">
        <v>149</v>
      </c>
      <c r="L21" s="638">
        <v>100</v>
      </c>
      <c r="M21" s="638">
        <v>100</v>
      </c>
      <c r="N21" s="638">
        <v>100</v>
      </c>
      <c r="O21" s="638">
        <v>100</v>
      </c>
      <c r="P21" s="639"/>
      <c r="Q21" s="638">
        <v>100</v>
      </c>
    </row>
    <row r="22" spans="1:17" ht="60" customHeight="1">
      <c r="A22" s="754">
        <v>2</v>
      </c>
      <c r="B22" s="857">
        <v>1</v>
      </c>
      <c r="C22" s="808" t="s">
        <v>432</v>
      </c>
      <c r="D22" s="861" t="s">
        <v>165</v>
      </c>
      <c r="E22" s="808" t="s">
        <v>162</v>
      </c>
      <c r="F22" s="762" t="s">
        <v>376</v>
      </c>
      <c r="G22" s="737">
        <v>2760119</v>
      </c>
      <c r="H22" s="737">
        <f>G22*1%+G22</f>
        <v>2787720.19</v>
      </c>
      <c r="I22" s="737">
        <f>H22*1%+H22</f>
        <v>2815597.3919</v>
      </c>
      <c r="J22" s="789" t="s">
        <v>167</v>
      </c>
      <c r="K22" s="715" t="s">
        <v>168</v>
      </c>
      <c r="L22" s="713">
        <v>137951</v>
      </c>
      <c r="M22" s="713">
        <v>107073</v>
      </c>
      <c r="N22" s="713" t="s">
        <v>407</v>
      </c>
      <c r="O22" s="713" t="s">
        <v>409</v>
      </c>
      <c r="P22" s="640"/>
      <c r="Q22" s="713" t="s">
        <v>409</v>
      </c>
    </row>
    <row r="23" spans="1:17" ht="15.75">
      <c r="A23" s="755"/>
      <c r="B23" s="856"/>
      <c r="C23" s="809"/>
      <c r="D23" s="862"/>
      <c r="E23" s="809"/>
      <c r="F23" s="763"/>
      <c r="G23" s="836"/>
      <c r="H23" s="836"/>
      <c r="I23" s="836"/>
      <c r="J23" s="790"/>
      <c r="K23" s="716"/>
      <c r="L23" s="714"/>
      <c r="M23" s="714"/>
      <c r="N23" s="714"/>
      <c r="O23" s="714"/>
      <c r="P23" s="640"/>
      <c r="Q23" s="714"/>
    </row>
    <row r="24" spans="1:17" ht="128.25">
      <c r="A24" s="755"/>
      <c r="B24" s="856"/>
      <c r="C24" s="809"/>
      <c r="D24" s="862"/>
      <c r="E24" s="809"/>
      <c r="F24" s="763"/>
      <c r="G24" s="836"/>
      <c r="H24" s="836"/>
      <c r="I24" s="836"/>
      <c r="J24" s="599" t="s">
        <v>169</v>
      </c>
      <c r="K24" s="637" t="s">
        <v>170</v>
      </c>
      <c r="L24" s="641">
        <v>3053</v>
      </c>
      <c r="M24" s="641">
        <v>4000</v>
      </c>
      <c r="N24" s="641">
        <v>4000</v>
      </c>
      <c r="O24" s="641">
        <v>4000</v>
      </c>
      <c r="P24" s="640"/>
      <c r="Q24" s="641">
        <v>4000</v>
      </c>
    </row>
    <row r="25" spans="1:17" ht="84.75" customHeight="1">
      <c r="A25" s="755"/>
      <c r="B25" s="856"/>
      <c r="C25" s="809"/>
      <c r="D25" s="862"/>
      <c r="E25" s="809"/>
      <c r="F25" s="763"/>
      <c r="G25" s="836"/>
      <c r="H25" s="836"/>
      <c r="I25" s="836"/>
      <c r="J25" s="599" t="s">
        <v>171</v>
      </c>
      <c r="K25" s="637" t="s">
        <v>149</v>
      </c>
      <c r="L25" s="642">
        <v>84.8</v>
      </c>
      <c r="M25" s="642">
        <v>84.8</v>
      </c>
      <c r="N25" s="642">
        <v>84.8</v>
      </c>
      <c r="O25" s="642">
        <v>84.8</v>
      </c>
      <c r="P25" s="640"/>
      <c r="Q25" s="642">
        <v>84.8</v>
      </c>
    </row>
    <row r="26" spans="1:17" ht="49.5" customHeight="1">
      <c r="A26" s="859"/>
      <c r="B26" s="856"/>
      <c r="C26" s="849"/>
      <c r="D26" s="849"/>
      <c r="E26" s="849"/>
      <c r="F26" s="851"/>
      <c r="G26" s="853"/>
      <c r="H26" s="853"/>
      <c r="I26" s="853"/>
      <c r="J26" s="599" t="s">
        <v>174</v>
      </c>
      <c r="K26" s="637" t="s">
        <v>170</v>
      </c>
      <c r="L26" s="643">
        <v>1062</v>
      </c>
      <c r="M26" s="643">
        <v>1186</v>
      </c>
      <c r="N26" s="643">
        <v>1296</v>
      </c>
      <c r="O26" s="643">
        <v>1296</v>
      </c>
      <c r="P26" s="640"/>
      <c r="Q26" s="643">
        <v>1296</v>
      </c>
    </row>
    <row r="27" spans="1:18" ht="67.5" customHeight="1">
      <c r="A27" s="859"/>
      <c r="B27" s="856"/>
      <c r="C27" s="849"/>
      <c r="D27" s="849"/>
      <c r="E27" s="849"/>
      <c r="F27" s="851"/>
      <c r="G27" s="853"/>
      <c r="H27" s="853"/>
      <c r="I27" s="853"/>
      <c r="J27" s="600" t="s">
        <v>175</v>
      </c>
      <c r="K27" s="637" t="s">
        <v>149</v>
      </c>
      <c r="L27" s="641">
        <v>89.8</v>
      </c>
      <c r="M27" s="641">
        <v>90</v>
      </c>
      <c r="N27" s="641">
        <v>95</v>
      </c>
      <c r="O27" s="641">
        <v>100</v>
      </c>
      <c r="P27" s="641">
        <v>114.4</v>
      </c>
      <c r="Q27" s="641">
        <v>100</v>
      </c>
      <c r="R27" s="602"/>
    </row>
    <row r="28" spans="1:17" ht="45" customHeight="1">
      <c r="A28" s="859"/>
      <c r="B28" s="856"/>
      <c r="C28" s="849"/>
      <c r="D28" s="849"/>
      <c r="E28" s="849"/>
      <c r="F28" s="851"/>
      <c r="G28" s="853"/>
      <c r="H28" s="853"/>
      <c r="I28" s="853"/>
      <c r="J28" s="789" t="s">
        <v>176</v>
      </c>
      <c r="K28" s="715" t="s">
        <v>168</v>
      </c>
      <c r="L28" s="715">
        <v>3546</v>
      </c>
      <c r="M28" s="715">
        <v>175</v>
      </c>
      <c r="N28" s="715">
        <v>175</v>
      </c>
      <c r="O28" s="715">
        <v>175</v>
      </c>
      <c r="P28" s="640"/>
      <c r="Q28" s="715">
        <v>175</v>
      </c>
    </row>
    <row r="29" spans="1:17" ht="15.75">
      <c r="A29" s="860"/>
      <c r="B29" s="858"/>
      <c r="C29" s="850"/>
      <c r="D29" s="850"/>
      <c r="E29" s="850"/>
      <c r="F29" s="852"/>
      <c r="G29" s="854"/>
      <c r="H29" s="854"/>
      <c r="I29" s="854"/>
      <c r="J29" s="790"/>
      <c r="K29" s="716"/>
      <c r="L29" s="716"/>
      <c r="M29" s="716"/>
      <c r="N29" s="716"/>
      <c r="O29" s="716"/>
      <c r="P29" s="639"/>
      <c r="Q29" s="716"/>
    </row>
    <row r="30" spans="1:17" ht="15.75">
      <c r="A30" s="754">
        <v>2</v>
      </c>
      <c r="B30" s="857">
        <v>2</v>
      </c>
      <c r="C30" s="743" t="s">
        <v>446</v>
      </c>
      <c r="D30" s="861" t="s">
        <v>165</v>
      </c>
      <c r="E30" s="808" t="s">
        <v>162</v>
      </c>
      <c r="F30" s="765" t="s">
        <v>377</v>
      </c>
      <c r="G30" s="733"/>
      <c r="H30" s="733">
        <f>G30*1%+G30</f>
        <v>0</v>
      </c>
      <c r="I30" s="733">
        <f>H30*1%+H30</f>
        <v>0</v>
      </c>
      <c r="J30" s="743" t="s">
        <v>182</v>
      </c>
      <c r="K30" s="865" t="s">
        <v>192</v>
      </c>
      <c r="L30" s="865">
        <v>130</v>
      </c>
      <c r="M30" s="865">
        <v>140</v>
      </c>
      <c r="N30" s="865" t="s">
        <v>204</v>
      </c>
      <c r="O30" s="865" t="s">
        <v>183</v>
      </c>
      <c r="P30" s="865" t="s">
        <v>183</v>
      </c>
      <c r="Q30" s="865" t="s">
        <v>183</v>
      </c>
    </row>
    <row r="31" spans="1:17" ht="39" customHeight="1">
      <c r="A31" s="755"/>
      <c r="B31" s="856"/>
      <c r="C31" s="837"/>
      <c r="D31" s="862"/>
      <c r="E31" s="809"/>
      <c r="F31" s="766"/>
      <c r="G31" s="746"/>
      <c r="H31" s="746"/>
      <c r="I31" s="746"/>
      <c r="J31" s="872"/>
      <c r="K31" s="870"/>
      <c r="L31" s="870"/>
      <c r="M31" s="870"/>
      <c r="N31" s="870"/>
      <c r="O31" s="870"/>
      <c r="P31" s="870"/>
      <c r="Q31" s="870"/>
    </row>
    <row r="32" spans="1:17" ht="30.75" customHeight="1">
      <c r="A32" s="859"/>
      <c r="B32" s="856"/>
      <c r="C32" s="744"/>
      <c r="D32" s="849"/>
      <c r="E32" s="849"/>
      <c r="F32" s="767"/>
      <c r="G32" s="747"/>
      <c r="H32" s="747"/>
      <c r="I32" s="747"/>
      <c r="J32" s="873"/>
      <c r="K32" s="871" t="s">
        <v>170</v>
      </c>
      <c r="L32" s="871">
        <v>130</v>
      </c>
      <c r="M32" s="871">
        <v>140</v>
      </c>
      <c r="N32" s="871" t="s">
        <v>183</v>
      </c>
      <c r="O32" s="871" t="s">
        <v>183</v>
      </c>
      <c r="P32" s="871" t="s">
        <v>183</v>
      </c>
      <c r="Q32" s="871" t="s">
        <v>183</v>
      </c>
    </row>
    <row r="33" spans="1:17" ht="45.75" customHeight="1">
      <c r="A33" s="859"/>
      <c r="B33" s="856"/>
      <c r="C33" s="745"/>
      <c r="D33" s="850"/>
      <c r="E33" s="850"/>
      <c r="F33" s="768"/>
      <c r="G33" s="748"/>
      <c r="H33" s="748"/>
      <c r="I33" s="748"/>
      <c r="J33" s="90" t="s">
        <v>184</v>
      </c>
      <c r="K33" s="644"/>
      <c r="L33" s="630">
        <v>18</v>
      </c>
      <c r="M33" s="630">
        <v>19.9</v>
      </c>
      <c r="N33" s="630">
        <v>22.4</v>
      </c>
      <c r="O33" s="630" t="s">
        <v>183</v>
      </c>
      <c r="P33" s="633"/>
      <c r="Q33" s="630" t="s">
        <v>183</v>
      </c>
    </row>
    <row r="34" spans="1:17" ht="112.5" customHeight="1">
      <c r="A34" s="228">
        <v>2</v>
      </c>
      <c r="B34" s="236">
        <v>3</v>
      </c>
      <c r="C34" s="93" t="s">
        <v>405</v>
      </c>
      <c r="D34" s="608" t="s">
        <v>161</v>
      </c>
      <c r="E34" s="607" t="s">
        <v>162</v>
      </c>
      <c r="F34" s="114"/>
      <c r="G34" s="436"/>
      <c r="H34" s="437"/>
      <c r="I34" s="437"/>
      <c r="J34" s="90" t="s">
        <v>185</v>
      </c>
      <c r="K34" s="629" t="s">
        <v>149</v>
      </c>
      <c r="L34" s="630" t="s">
        <v>186</v>
      </c>
      <c r="M34" s="630" t="s">
        <v>186</v>
      </c>
      <c r="N34" s="630" t="s">
        <v>186</v>
      </c>
      <c r="O34" s="630" t="s">
        <v>186</v>
      </c>
      <c r="P34" s="633"/>
      <c r="Q34" s="630" t="s">
        <v>186</v>
      </c>
    </row>
    <row r="35" spans="1:17" ht="95.25" customHeight="1">
      <c r="A35" s="754">
        <v>2</v>
      </c>
      <c r="B35" s="757">
        <v>4</v>
      </c>
      <c r="C35" s="743" t="s">
        <v>433</v>
      </c>
      <c r="D35" s="825" t="s">
        <v>188</v>
      </c>
      <c r="E35" s="816" t="s">
        <v>189</v>
      </c>
      <c r="F35" s="741"/>
      <c r="G35" s="806">
        <v>18568569.4</v>
      </c>
      <c r="H35" s="806">
        <f>G35*1%+G35</f>
        <v>18754255.093999997</v>
      </c>
      <c r="I35" s="806">
        <f>H35*1%+H35</f>
        <v>18941797.644939996</v>
      </c>
      <c r="J35" s="743" t="s">
        <v>79</v>
      </c>
      <c r="K35" s="865" t="s">
        <v>149</v>
      </c>
      <c r="L35" s="865">
        <v>67</v>
      </c>
      <c r="M35" s="865">
        <v>69</v>
      </c>
      <c r="N35" s="865">
        <v>71</v>
      </c>
      <c r="O35" s="865">
        <v>71</v>
      </c>
      <c r="P35" s="633"/>
      <c r="Q35" s="865">
        <v>71</v>
      </c>
    </row>
    <row r="36" spans="1:17" ht="77.25" customHeight="1">
      <c r="A36" s="863"/>
      <c r="B36" s="843"/>
      <c r="C36" s="811"/>
      <c r="D36" s="826"/>
      <c r="E36" s="817"/>
      <c r="F36" s="742"/>
      <c r="G36" s="807"/>
      <c r="H36" s="807"/>
      <c r="I36" s="807"/>
      <c r="J36" s="745"/>
      <c r="K36" s="866"/>
      <c r="L36" s="866"/>
      <c r="M36" s="866"/>
      <c r="N36" s="866"/>
      <c r="O36" s="866"/>
      <c r="P36" s="633"/>
      <c r="Q36" s="866"/>
    </row>
    <row r="37" spans="1:17" ht="116.25" customHeight="1">
      <c r="A37" s="228">
        <v>2</v>
      </c>
      <c r="B37" s="236">
        <v>5</v>
      </c>
      <c r="C37" s="86" t="s">
        <v>193</v>
      </c>
      <c r="D37" s="140" t="s">
        <v>165</v>
      </c>
      <c r="E37" s="609" t="s">
        <v>422</v>
      </c>
      <c r="F37" s="152" t="s">
        <v>194</v>
      </c>
      <c r="G37" s="113"/>
      <c r="H37" s="113">
        <f>G37*1%+G37</f>
        <v>0</v>
      </c>
      <c r="I37" s="113">
        <f>H37*1%+H37</f>
        <v>0</v>
      </c>
      <c r="J37" s="90" t="s">
        <v>195</v>
      </c>
      <c r="K37" s="629" t="s">
        <v>192</v>
      </c>
      <c r="L37" s="645">
        <v>2</v>
      </c>
      <c r="M37" s="645">
        <v>2</v>
      </c>
      <c r="N37" s="646">
        <v>2</v>
      </c>
      <c r="O37" s="645"/>
      <c r="P37" s="633"/>
      <c r="Q37" s="645"/>
    </row>
    <row r="38" spans="1:17" ht="70.5" customHeight="1">
      <c r="A38" s="841">
        <v>2</v>
      </c>
      <c r="B38" s="757">
        <v>6</v>
      </c>
      <c r="C38" s="824" t="s">
        <v>449</v>
      </c>
      <c r="D38" s="749" t="s">
        <v>165</v>
      </c>
      <c r="E38" s="808" t="s">
        <v>422</v>
      </c>
      <c r="F38" s="765" t="s">
        <v>448</v>
      </c>
      <c r="G38" s="784">
        <v>457560</v>
      </c>
      <c r="H38" s="784">
        <v>457560</v>
      </c>
      <c r="I38" s="784">
        <v>948750</v>
      </c>
      <c r="J38" s="90" t="s">
        <v>198</v>
      </c>
      <c r="K38" s="629" t="s">
        <v>149</v>
      </c>
      <c r="L38" s="647">
        <v>60</v>
      </c>
      <c r="M38" s="647">
        <v>65</v>
      </c>
      <c r="N38" s="648">
        <v>70</v>
      </c>
      <c r="O38" s="647">
        <v>75</v>
      </c>
      <c r="P38" s="633"/>
      <c r="Q38" s="647">
        <v>80</v>
      </c>
    </row>
    <row r="39" spans="1:17" ht="55.5" customHeight="1">
      <c r="A39" s="842"/>
      <c r="B39" s="758"/>
      <c r="C39" s="824"/>
      <c r="D39" s="830"/>
      <c r="E39" s="809"/>
      <c r="F39" s="766"/>
      <c r="G39" s="785"/>
      <c r="H39" s="785"/>
      <c r="I39" s="785"/>
      <c r="J39" s="743" t="s">
        <v>199</v>
      </c>
      <c r="K39" s="865" t="s">
        <v>149</v>
      </c>
      <c r="L39" s="865">
        <v>100</v>
      </c>
      <c r="M39" s="865" t="s">
        <v>183</v>
      </c>
      <c r="N39" s="865" t="s">
        <v>183</v>
      </c>
      <c r="O39" s="865" t="s">
        <v>183</v>
      </c>
      <c r="P39" s="633"/>
      <c r="Q39" s="865" t="s">
        <v>183</v>
      </c>
    </row>
    <row r="40" spans="1:17" ht="30" customHeight="1">
      <c r="A40" s="842"/>
      <c r="B40" s="758"/>
      <c r="C40" s="824"/>
      <c r="D40" s="830"/>
      <c r="E40" s="809"/>
      <c r="F40" s="766"/>
      <c r="G40" s="785"/>
      <c r="H40" s="785"/>
      <c r="I40" s="785"/>
      <c r="J40" s="744"/>
      <c r="K40" s="869"/>
      <c r="L40" s="869"/>
      <c r="M40" s="869"/>
      <c r="N40" s="869"/>
      <c r="O40" s="869"/>
      <c r="P40" s="633"/>
      <c r="Q40" s="869"/>
    </row>
    <row r="41" spans="1:17" ht="22.5" customHeight="1">
      <c r="A41" s="842"/>
      <c r="B41" s="843"/>
      <c r="C41" s="824"/>
      <c r="D41" s="750"/>
      <c r="E41" s="810"/>
      <c r="F41" s="791"/>
      <c r="G41" s="786"/>
      <c r="H41" s="786"/>
      <c r="I41" s="786"/>
      <c r="J41" s="745"/>
      <c r="K41" s="866"/>
      <c r="L41" s="866"/>
      <c r="M41" s="866"/>
      <c r="N41" s="866"/>
      <c r="O41" s="866"/>
      <c r="P41" s="633"/>
      <c r="Q41" s="866"/>
    </row>
    <row r="42" spans="1:17" ht="42.75" customHeight="1">
      <c r="A42" s="841">
        <v>2</v>
      </c>
      <c r="B42" s="757">
        <v>7</v>
      </c>
      <c r="C42" s="824" t="s">
        <v>201</v>
      </c>
      <c r="D42" s="814" t="s">
        <v>165</v>
      </c>
      <c r="E42" s="812" t="s">
        <v>422</v>
      </c>
      <c r="F42" s="818" t="s">
        <v>181</v>
      </c>
      <c r="G42" s="721" t="s">
        <v>202</v>
      </c>
      <c r="H42" s="722"/>
      <c r="I42" s="723"/>
      <c r="J42" s="787" t="s">
        <v>203</v>
      </c>
      <c r="K42" s="727" t="s">
        <v>192</v>
      </c>
      <c r="L42" s="731">
        <v>30</v>
      </c>
      <c r="M42" s="719" t="s">
        <v>204</v>
      </c>
      <c r="N42" s="719" t="s">
        <v>204</v>
      </c>
      <c r="O42" s="719" t="s">
        <v>204</v>
      </c>
      <c r="P42" s="633"/>
      <c r="Q42" s="719" t="s">
        <v>204</v>
      </c>
    </row>
    <row r="43" spans="1:17" ht="65.25" customHeight="1">
      <c r="A43" s="842"/>
      <c r="B43" s="843"/>
      <c r="C43" s="824"/>
      <c r="D43" s="815"/>
      <c r="E43" s="813"/>
      <c r="F43" s="819"/>
      <c r="G43" s="724"/>
      <c r="H43" s="725"/>
      <c r="I43" s="726"/>
      <c r="J43" s="788"/>
      <c r="K43" s="728"/>
      <c r="L43" s="776"/>
      <c r="M43" s="720"/>
      <c r="N43" s="720"/>
      <c r="O43" s="720"/>
      <c r="P43" s="633"/>
      <c r="Q43" s="720"/>
    </row>
    <row r="44" spans="1:17" ht="102.75" customHeight="1">
      <c r="A44" s="228">
        <v>2</v>
      </c>
      <c r="B44" s="237">
        <v>8</v>
      </c>
      <c r="C44" s="90" t="s">
        <v>434</v>
      </c>
      <c r="D44" s="87" t="s">
        <v>165</v>
      </c>
      <c r="E44" s="812" t="s">
        <v>422</v>
      </c>
      <c r="F44" s="115" t="s">
        <v>197</v>
      </c>
      <c r="G44" s="664"/>
      <c r="H44" s="665"/>
      <c r="I44" s="665"/>
      <c r="J44" s="90" t="s">
        <v>32</v>
      </c>
      <c r="K44" s="629" t="s">
        <v>149</v>
      </c>
      <c r="L44" s="630">
        <v>96.5</v>
      </c>
      <c r="M44" s="630">
        <v>96.5</v>
      </c>
      <c r="N44" s="649" t="s">
        <v>183</v>
      </c>
      <c r="O44" s="649" t="s">
        <v>183</v>
      </c>
      <c r="P44" s="649" t="s">
        <v>183</v>
      </c>
      <c r="Q44" s="649" t="s">
        <v>183</v>
      </c>
    </row>
    <row r="45" spans="1:17" ht="16.5" thickBot="1">
      <c r="A45" s="229"/>
      <c r="B45" s="238"/>
      <c r="C45" s="162" t="s">
        <v>160</v>
      </c>
      <c r="D45" s="163"/>
      <c r="E45" s="813"/>
      <c r="F45" s="164"/>
      <c r="G45" s="165">
        <f>G35+G38+G44+G37+G34+G22+G30</f>
        <v>21786248.4</v>
      </c>
      <c r="H45" s="597">
        <f>H22+H30+H35+H37+H38</f>
        <v>21999535.283999998</v>
      </c>
      <c r="I45" s="597">
        <f>I22+I30+I35+I37+I38</f>
        <v>22706145.036839996</v>
      </c>
      <c r="J45" s="162"/>
      <c r="K45" s="635"/>
      <c r="L45" s="650"/>
      <c r="M45" s="631"/>
      <c r="N45" s="632"/>
      <c r="O45" s="631"/>
      <c r="P45" s="633"/>
      <c r="Q45" s="631"/>
    </row>
    <row r="46" spans="1:17" ht="140.25" customHeight="1">
      <c r="A46" s="771">
        <v>3</v>
      </c>
      <c r="B46" s="864">
        <v>1</v>
      </c>
      <c r="C46" s="717" t="s">
        <v>396</v>
      </c>
      <c r="D46" s="456" t="s">
        <v>395</v>
      </c>
      <c r="E46" s="456" t="s">
        <v>423</v>
      </c>
      <c r="F46" s="445"/>
      <c r="G46" s="596"/>
      <c r="H46" s="596"/>
      <c r="I46" s="596"/>
      <c r="J46" s="480" t="s">
        <v>352</v>
      </c>
      <c r="K46" s="629" t="s">
        <v>149</v>
      </c>
      <c r="L46" s="629">
        <v>5</v>
      </c>
      <c r="M46" s="629">
        <v>15</v>
      </c>
      <c r="N46" s="629">
        <v>30</v>
      </c>
      <c r="O46" s="629">
        <v>50</v>
      </c>
      <c r="P46" s="633"/>
      <c r="Q46" s="629">
        <v>50</v>
      </c>
    </row>
    <row r="47" spans="1:17" ht="140.25" customHeight="1" thickBot="1">
      <c r="A47" s="772"/>
      <c r="B47" s="845"/>
      <c r="C47" s="718"/>
      <c r="D47" s="610" t="s">
        <v>210</v>
      </c>
      <c r="E47" s="481" t="s">
        <v>207</v>
      </c>
      <c r="F47" s="595"/>
      <c r="G47" s="463"/>
      <c r="H47" s="463"/>
      <c r="I47" s="464"/>
      <c r="J47" s="601" t="s">
        <v>208</v>
      </c>
      <c r="K47" s="629" t="s">
        <v>149</v>
      </c>
      <c r="L47" s="650">
        <v>60</v>
      </c>
      <c r="M47" s="650">
        <v>65</v>
      </c>
      <c r="N47" s="651">
        <v>68</v>
      </c>
      <c r="O47" s="650">
        <v>70</v>
      </c>
      <c r="P47" s="633"/>
      <c r="Q47" s="650">
        <v>70</v>
      </c>
    </row>
    <row r="48" spans="1:17" ht="135" customHeight="1">
      <c r="A48" s="771">
        <v>3</v>
      </c>
      <c r="B48" s="844">
        <v>2</v>
      </c>
      <c r="C48" s="820" t="s">
        <v>435</v>
      </c>
      <c r="D48" s="822" t="s">
        <v>338</v>
      </c>
      <c r="E48" s="782" t="s">
        <v>450</v>
      </c>
      <c r="F48" s="782"/>
      <c r="G48" s="769">
        <v>1256509.2</v>
      </c>
      <c r="H48" s="769">
        <f>G48*1%+G48</f>
        <v>1269074.292</v>
      </c>
      <c r="I48" s="769">
        <f>H48*1%+H48</f>
        <v>1281765.03492</v>
      </c>
      <c r="J48" s="472" t="s">
        <v>340</v>
      </c>
      <c r="K48" s="629" t="s">
        <v>192</v>
      </c>
      <c r="L48" s="652">
        <v>3</v>
      </c>
      <c r="M48" s="652">
        <v>24</v>
      </c>
      <c r="N48" s="652">
        <v>18</v>
      </c>
      <c r="O48" s="652">
        <v>10</v>
      </c>
      <c r="P48" s="633"/>
      <c r="Q48" s="652">
        <v>10</v>
      </c>
    </row>
    <row r="49" spans="1:17" ht="135" customHeight="1" thickBot="1">
      <c r="A49" s="772"/>
      <c r="B49" s="845"/>
      <c r="C49" s="821"/>
      <c r="D49" s="783"/>
      <c r="E49" s="783"/>
      <c r="F49" s="783"/>
      <c r="G49" s="770"/>
      <c r="H49" s="770"/>
      <c r="I49" s="770"/>
      <c r="J49" s="477" t="s">
        <v>350</v>
      </c>
      <c r="K49" s="653" t="s">
        <v>246</v>
      </c>
      <c r="L49" s="654">
        <v>26000</v>
      </c>
      <c r="M49" s="655">
        <v>26016</v>
      </c>
      <c r="N49" s="655">
        <v>26020</v>
      </c>
      <c r="O49" s="655">
        <v>26031</v>
      </c>
      <c r="P49" s="633"/>
      <c r="Q49" s="655">
        <v>26031</v>
      </c>
    </row>
    <row r="50" spans="1:17" ht="114.75" customHeight="1" thickBot="1">
      <c r="A50" s="441">
        <v>3</v>
      </c>
      <c r="B50" s="443">
        <v>3</v>
      </c>
      <c r="C50" s="458" t="s">
        <v>436</v>
      </c>
      <c r="D50" s="460" t="s">
        <v>338</v>
      </c>
      <c r="E50" s="460" t="s">
        <v>342</v>
      </c>
      <c r="F50" s="445"/>
      <c r="G50" s="666">
        <v>35010.7</v>
      </c>
      <c r="H50" s="666">
        <v>35010.7</v>
      </c>
      <c r="I50" s="666">
        <v>35010.7</v>
      </c>
      <c r="J50" s="472" t="s">
        <v>343</v>
      </c>
      <c r="K50" s="629" t="s">
        <v>192</v>
      </c>
      <c r="L50" s="656" t="s">
        <v>344</v>
      </c>
      <c r="M50" s="645">
        <v>10</v>
      </c>
      <c r="N50" s="652">
        <v>18</v>
      </c>
      <c r="O50" s="652">
        <v>24</v>
      </c>
      <c r="P50" s="633"/>
      <c r="Q50" s="652">
        <v>24</v>
      </c>
    </row>
    <row r="51" spans="1:17" ht="60" customHeight="1">
      <c r="A51" s="441">
        <v>3</v>
      </c>
      <c r="B51" s="443">
        <v>4</v>
      </c>
      <c r="C51" s="458" t="s">
        <v>437</v>
      </c>
      <c r="D51" s="460" t="s">
        <v>338</v>
      </c>
      <c r="E51" s="460" t="s">
        <v>378</v>
      </c>
      <c r="F51" s="445"/>
      <c r="G51" s="666">
        <v>10740</v>
      </c>
      <c r="H51" s="666">
        <v>10740</v>
      </c>
      <c r="I51" s="666">
        <v>10740</v>
      </c>
      <c r="J51" s="476" t="s">
        <v>347</v>
      </c>
      <c r="K51" s="629" t="s">
        <v>149</v>
      </c>
      <c r="L51" s="645">
        <v>10</v>
      </c>
      <c r="M51" s="645">
        <v>20</v>
      </c>
      <c r="N51" s="645">
        <v>40</v>
      </c>
      <c r="O51" s="645">
        <v>50</v>
      </c>
      <c r="P51" s="633"/>
      <c r="Q51" s="645">
        <v>50</v>
      </c>
    </row>
    <row r="52" spans="1:17" ht="126" customHeight="1">
      <c r="A52" s="228">
        <v>3</v>
      </c>
      <c r="B52" s="236">
        <v>5</v>
      </c>
      <c r="C52" s="90" t="s">
        <v>438</v>
      </c>
      <c r="D52" s="610" t="s">
        <v>210</v>
      </c>
      <c r="E52" s="481" t="s">
        <v>207</v>
      </c>
      <c r="F52" s="222"/>
      <c r="G52" s="668">
        <v>207249.8</v>
      </c>
      <c r="H52" s="668">
        <f>G52*1%+G52</f>
        <v>209322.29799999998</v>
      </c>
      <c r="I52" s="668">
        <f>H52*1%+H52</f>
        <v>211415.52097999997</v>
      </c>
      <c r="J52" s="86" t="s">
        <v>211</v>
      </c>
      <c r="K52" s="629" t="s">
        <v>149</v>
      </c>
      <c r="L52" s="657">
        <v>0.42</v>
      </c>
      <c r="M52" s="657">
        <v>0.42</v>
      </c>
      <c r="N52" s="658">
        <v>0.45</v>
      </c>
      <c r="O52" s="657">
        <v>0.45</v>
      </c>
      <c r="P52" s="633"/>
      <c r="Q52" s="657">
        <v>0.45</v>
      </c>
    </row>
    <row r="53" spans="1:17" ht="75.75" customHeight="1">
      <c r="A53" s="754">
        <v>3</v>
      </c>
      <c r="B53" s="757">
        <v>6</v>
      </c>
      <c r="C53" s="743" t="s">
        <v>439</v>
      </c>
      <c r="D53" s="759" t="s">
        <v>210</v>
      </c>
      <c r="E53" s="762" t="s">
        <v>207</v>
      </c>
      <c r="F53" s="765" t="s">
        <v>213</v>
      </c>
      <c r="G53" s="733">
        <v>221344</v>
      </c>
      <c r="H53" s="733">
        <f>G53*1%+G53</f>
        <v>223557.44</v>
      </c>
      <c r="I53" s="733">
        <f>H53*1%+H53</f>
        <v>225793.01440000001</v>
      </c>
      <c r="J53" s="599" t="s">
        <v>214</v>
      </c>
      <c r="K53" s="637" t="s">
        <v>149</v>
      </c>
      <c r="L53" s="659">
        <v>0.16</v>
      </c>
      <c r="M53" s="659">
        <v>0.16</v>
      </c>
      <c r="N53" s="659">
        <v>0.16</v>
      </c>
      <c r="O53" s="659">
        <v>0.16</v>
      </c>
      <c r="P53" s="639"/>
      <c r="Q53" s="659">
        <v>0.16</v>
      </c>
    </row>
    <row r="54" spans="1:17" ht="108.75" customHeight="1">
      <c r="A54" s="755"/>
      <c r="B54" s="758"/>
      <c r="C54" s="744"/>
      <c r="D54" s="760"/>
      <c r="E54" s="763"/>
      <c r="F54" s="766"/>
      <c r="G54" s="746"/>
      <c r="H54" s="746"/>
      <c r="I54" s="746"/>
      <c r="J54" s="599" t="s">
        <v>414</v>
      </c>
      <c r="K54" s="637" t="s">
        <v>149</v>
      </c>
      <c r="L54" s="659">
        <v>0.3</v>
      </c>
      <c r="M54" s="659">
        <v>0.3</v>
      </c>
      <c r="N54" s="659">
        <v>0.3</v>
      </c>
      <c r="O54" s="659">
        <v>0.4</v>
      </c>
      <c r="P54" s="639"/>
      <c r="Q54" s="659">
        <v>0.5</v>
      </c>
    </row>
    <row r="55" spans="1:17" ht="100.5" customHeight="1">
      <c r="A55" s="756"/>
      <c r="B55" s="747"/>
      <c r="C55" s="744"/>
      <c r="D55" s="760"/>
      <c r="E55" s="763"/>
      <c r="F55" s="767"/>
      <c r="G55" s="747"/>
      <c r="H55" s="747"/>
      <c r="I55" s="747"/>
      <c r="J55" s="600" t="s">
        <v>415</v>
      </c>
      <c r="K55" s="637" t="s">
        <v>149</v>
      </c>
      <c r="L55" s="659">
        <v>0.4</v>
      </c>
      <c r="M55" s="659">
        <v>0.4</v>
      </c>
      <c r="N55" s="660">
        <v>0.4</v>
      </c>
      <c r="O55" s="659">
        <v>0.5</v>
      </c>
      <c r="P55" s="639"/>
      <c r="Q55" s="659">
        <v>0.6</v>
      </c>
    </row>
    <row r="56" spans="1:17" ht="15.75">
      <c r="A56" s="756"/>
      <c r="B56" s="747"/>
      <c r="C56" s="744"/>
      <c r="D56" s="760"/>
      <c r="E56" s="763"/>
      <c r="F56" s="767"/>
      <c r="G56" s="747"/>
      <c r="H56" s="747"/>
      <c r="I56" s="747"/>
      <c r="J56" s="778" t="s">
        <v>416</v>
      </c>
      <c r="K56" s="780" t="s">
        <v>149</v>
      </c>
      <c r="L56" s="780">
        <v>3</v>
      </c>
      <c r="M56" s="780">
        <v>3</v>
      </c>
      <c r="N56" s="780">
        <v>3</v>
      </c>
      <c r="O56" s="780">
        <v>3</v>
      </c>
      <c r="P56" s="639"/>
      <c r="Q56" s="780">
        <v>3</v>
      </c>
    </row>
    <row r="57" spans="1:17" ht="67.5" customHeight="1">
      <c r="A57" s="726"/>
      <c r="B57" s="748"/>
      <c r="C57" s="745"/>
      <c r="D57" s="761"/>
      <c r="E57" s="764"/>
      <c r="F57" s="768"/>
      <c r="G57" s="748"/>
      <c r="H57" s="748"/>
      <c r="I57" s="748"/>
      <c r="J57" s="779"/>
      <c r="K57" s="781"/>
      <c r="L57" s="781"/>
      <c r="M57" s="781"/>
      <c r="N57" s="781"/>
      <c r="O57" s="781"/>
      <c r="P57" s="639"/>
      <c r="Q57" s="781"/>
    </row>
    <row r="58" spans="1:17" ht="15.75">
      <c r="A58" s="484"/>
      <c r="B58" s="236"/>
      <c r="C58" s="162" t="s">
        <v>160</v>
      </c>
      <c r="D58" s="163"/>
      <c r="E58" s="162"/>
      <c r="F58" s="164"/>
      <c r="G58" s="165">
        <f>G48+G50+G51+G52+G53</f>
        <v>1730853.7</v>
      </c>
      <c r="H58" s="165">
        <f>H48+H50+H51+H52+H53</f>
        <v>1747704.7299999997</v>
      </c>
      <c r="I58" s="165">
        <f>I48+I50+I51+I52+I53</f>
        <v>1764724.2703</v>
      </c>
      <c r="J58" s="171"/>
      <c r="K58" s="661"/>
      <c r="L58" s="631"/>
      <c r="M58" s="631"/>
      <c r="N58" s="632"/>
      <c r="O58" s="631"/>
      <c r="P58" s="633"/>
      <c r="Q58" s="631"/>
    </row>
    <row r="59" spans="1:17" ht="99.75">
      <c r="A59" s="841">
        <v>4</v>
      </c>
      <c r="B59" s="757">
        <v>1</v>
      </c>
      <c r="C59" s="752" t="s">
        <v>393</v>
      </c>
      <c r="D59" s="741" t="s">
        <v>206</v>
      </c>
      <c r="E59" s="741" t="s">
        <v>207</v>
      </c>
      <c r="F59" s="741"/>
      <c r="G59" s="735">
        <v>704208</v>
      </c>
      <c r="H59" s="735">
        <v>719489.3</v>
      </c>
      <c r="I59" s="735">
        <v>746329.6</v>
      </c>
      <c r="J59" s="92" t="s">
        <v>77</v>
      </c>
      <c r="K59" s="661" t="s">
        <v>149</v>
      </c>
      <c r="L59" s="631">
        <v>72</v>
      </c>
      <c r="M59" s="631">
        <v>75</v>
      </c>
      <c r="N59" s="632">
        <v>78</v>
      </c>
      <c r="O59" s="631">
        <v>80</v>
      </c>
      <c r="P59" s="633"/>
      <c r="Q59" s="631">
        <v>80</v>
      </c>
    </row>
    <row r="60" spans="1:17" ht="99.75">
      <c r="A60" s="842"/>
      <c r="B60" s="843"/>
      <c r="C60" s="753"/>
      <c r="D60" s="742"/>
      <c r="E60" s="742"/>
      <c r="F60" s="742"/>
      <c r="G60" s="736"/>
      <c r="H60" s="736"/>
      <c r="I60" s="736"/>
      <c r="J60" s="92" t="s">
        <v>78</v>
      </c>
      <c r="K60" s="629" t="s">
        <v>149</v>
      </c>
      <c r="L60" s="631">
        <v>75</v>
      </c>
      <c r="M60" s="631">
        <v>77</v>
      </c>
      <c r="N60" s="632">
        <v>79</v>
      </c>
      <c r="O60" s="631">
        <v>81</v>
      </c>
      <c r="P60" s="633"/>
      <c r="Q60" s="631">
        <v>81</v>
      </c>
    </row>
    <row r="61" spans="1:17" ht="156.75">
      <c r="A61" s="841">
        <v>4</v>
      </c>
      <c r="B61" s="757">
        <v>2</v>
      </c>
      <c r="C61" s="743" t="s">
        <v>440</v>
      </c>
      <c r="D61" s="749" t="s">
        <v>210</v>
      </c>
      <c r="E61" s="743" t="s">
        <v>207</v>
      </c>
      <c r="F61" s="765" t="s">
        <v>222</v>
      </c>
      <c r="G61" s="737">
        <v>3859100</v>
      </c>
      <c r="H61" s="737">
        <f>G61*1%+G61</f>
        <v>3897691</v>
      </c>
      <c r="I61" s="737">
        <f>H61*1%+H61</f>
        <v>3936667.91</v>
      </c>
      <c r="J61" s="86" t="s">
        <v>223</v>
      </c>
      <c r="K61" s="629" t="s">
        <v>149</v>
      </c>
      <c r="L61" s="657">
        <v>0.8</v>
      </c>
      <c r="M61" s="657">
        <v>0.85</v>
      </c>
      <c r="N61" s="658">
        <v>0.85</v>
      </c>
      <c r="O61" s="657">
        <v>0.85</v>
      </c>
      <c r="P61" s="633"/>
      <c r="Q61" s="657">
        <v>0.85</v>
      </c>
    </row>
    <row r="62" spans="1:17" ht="125.25" customHeight="1">
      <c r="A62" s="842"/>
      <c r="B62" s="843"/>
      <c r="C62" s="751"/>
      <c r="D62" s="750"/>
      <c r="E62" s="751"/>
      <c r="F62" s="791"/>
      <c r="G62" s="738"/>
      <c r="H62" s="738"/>
      <c r="I62" s="738"/>
      <c r="J62" s="86" t="s">
        <v>224</v>
      </c>
      <c r="K62" s="629" t="s">
        <v>149</v>
      </c>
      <c r="L62" s="657">
        <v>0.5</v>
      </c>
      <c r="M62" s="657">
        <v>0.55</v>
      </c>
      <c r="N62" s="658">
        <v>0.55</v>
      </c>
      <c r="O62" s="657">
        <v>0.55</v>
      </c>
      <c r="P62" s="633"/>
      <c r="Q62" s="657">
        <v>0.55</v>
      </c>
    </row>
    <row r="63" spans="1:17" ht="90.75" customHeight="1">
      <c r="A63" s="841">
        <v>4</v>
      </c>
      <c r="B63" s="757">
        <v>3</v>
      </c>
      <c r="C63" s="824" t="s">
        <v>441</v>
      </c>
      <c r="D63" s="794" t="s">
        <v>210</v>
      </c>
      <c r="E63" s="765" t="s">
        <v>207</v>
      </c>
      <c r="F63" s="765" t="s">
        <v>222</v>
      </c>
      <c r="G63" s="737">
        <v>568371.1</v>
      </c>
      <c r="H63" s="737">
        <f>G63*1%+G63</f>
        <v>574054.811</v>
      </c>
      <c r="I63" s="737">
        <f>H63*1%+H63</f>
        <v>579795.35911</v>
      </c>
      <c r="J63" s="773" t="s">
        <v>226</v>
      </c>
      <c r="K63" s="727" t="s">
        <v>149</v>
      </c>
      <c r="L63" s="729">
        <v>0.3</v>
      </c>
      <c r="M63" s="729">
        <v>0.3</v>
      </c>
      <c r="N63" s="729">
        <v>0.32</v>
      </c>
      <c r="O63" s="729">
        <v>0.32</v>
      </c>
      <c r="P63" s="633"/>
      <c r="Q63" s="729">
        <v>0.32</v>
      </c>
    </row>
    <row r="64" spans="1:17" ht="15.75" customHeight="1" hidden="1">
      <c r="A64" s="842"/>
      <c r="B64" s="758"/>
      <c r="C64" s="824"/>
      <c r="D64" s="797"/>
      <c r="E64" s="791"/>
      <c r="F64" s="791"/>
      <c r="G64" s="738"/>
      <c r="H64" s="738"/>
      <c r="I64" s="738"/>
      <c r="J64" s="774"/>
      <c r="K64" s="777"/>
      <c r="L64" s="730"/>
      <c r="M64" s="730"/>
      <c r="N64" s="730"/>
      <c r="O64" s="730"/>
      <c r="P64" s="633"/>
      <c r="Q64" s="730"/>
    </row>
    <row r="65" spans="1:17" ht="15.75">
      <c r="A65" s="482"/>
      <c r="B65" s="483"/>
      <c r="C65" s="162" t="s">
        <v>160</v>
      </c>
      <c r="D65" s="163"/>
      <c r="E65" s="162"/>
      <c r="F65" s="225"/>
      <c r="G65" s="165">
        <f>G61+G63</f>
        <v>4427471.1</v>
      </c>
      <c r="H65" s="165">
        <f>H61+H63</f>
        <v>4471745.811</v>
      </c>
      <c r="I65" s="165">
        <f>I61+I63</f>
        <v>4516463.26911</v>
      </c>
      <c r="J65" s="171"/>
      <c r="K65" s="629"/>
      <c r="L65" s="630"/>
      <c r="M65" s="630"/>
      <c r="N65" s="649"/>
      <c r="O65" s="630"/>
      <c r="P65" s="633"/>
      <c r="Q65" s="630"/>
    </row>
    <row r="66" spans="1:17" ht="206.25" customHeight="1">
      <c r="A66" s="841">
        <v>5</v>
      </c>
      <c r="B66" s="757">
        <v>1</v>
      </c>
      <c r="C66" s="846" t="s">
        <v>394</v>
      </c>
      <c r="D66" s="794" t="s">
        <v>206</v>
      </c>
      <c r="E66" s="798" t="s">
        <v>207</v>
      </c>
      <c r="F66" s="835"/>
      <c r="G66" s="739"/>
      <c r="H66" s="739"/>
      <c r="I66" s="739"/>
      <c r="J66" s="773" t="s">
        <v>31</v>
      </c>
      <c r="K66" s="727" t="s">
        <v>149</v>
      </c>
      <c r="L66" s="731">
        <v>100</v>
      </c>
      <c r="M66" s="719">
        <v>100</v>
      </c>
      <c r="N66" s="731">
        <v>100</v>
      </c>
      <c r="O66" s="731">
        <v>100</v>
      </c>
      <c r="P66" s="633"/>
      <c r="Q66" s="731">
        <v>100</v>
      </c>
    </row>
    <row r="67" spans="1:17" ht="57" customHeight="1" hidden="1">
      <c r="A67" s="842"/>
      <c r="B67" s="843"/>
      <c r="C67" s="846"/>
      <c r="D67" s="797"/>
      <c r="E67" s="800"/>
      <c r="F67" s="803"/>
      <c r="G67" s="740"/>
      <c r="H67" s="740"/>
      <c r="I67" s="740"/>
      <c r="J67" s="774"/>
      <c r="K67" s="777"/>
      <c r="L67" s="732"/>
      <c r="M67" s="775"/>
      <c r="N67" s="732"/>
      <c r="O67" s="732"/>
      <c r="P67" s="633"/>
      <c r="Q67" s="732"/>
    </row>
    <row r="68" spans="1:17" ht="46.5" customHeight="1">
      <c r="A68" s="841">
        <v>5</v>
      </c>
      <c r="B68" s="757">
        <v>2</v>
      </c>
      <c r="C68" s="824" t="s">
        <v>442</v>
      </c>
      <c r="D68" s="749" t="s">
        <v>165</v>
      </c>
      <c r="E68" s="743" t="s">
        <v>162</v>
      </c>
      <c r="F68" s="818"/>
      <c r="G68" s="831">
        <v>48234.8</v>
      </c>
      <c r="H68" s="831">
        <f>G68*1%+G68</f>
        <v>48717.148</v>
      </c>
      <c r="I68" s="831">
        <f>H68*1%+H68</f>
        <v>49204.31948</v>
      </c>
      <c r="J68" s="95" t="s">
        <v>228</v>
      </c>
      <c r="K68" s="629" t="s">
        <v>170</v>
      </c>
      <c r="L68" s="630">
        <v>9</v>
      </c>
      <c r="M68" s="630" t="s">
        <v>183</v>
      </c>
      <c r="N68" s="630" t="s">
        <v>183</v>
      </c>
      <c r="O68" s="630" t="s">
        <v>183</v>
      </c>
      <c r="P68" s="633"/>
      <c r="Q68" s="630" t="s">
        <v>183</v>
      </c>
    </row>
    <row r="69" spans="1:17" ht="60.75" customHeight="1">
      <c r="A69" s="842"/>
      <c r="B69" s="758"/>
      <c r="C69" s="824"/>
      <c r="D69" s="830"/>
      <c r="E69" s="837"/>
      <c r="F69" s="834"/>
      <c r="G69" s="832"/>
      <c r="H69" s="832"/>
      <c r="I69" s="832"/>
      <c r="J69" s="96" t="s">
        <v>229</v>
      </c>
      <c r="K69" s="629" t="s">
        <v>168</v>
      </c>
      <c r="L69" s="630">
        <v>2551</v>
      </c>
      <c r="M69" s="630" t="s">
        <v>183</v>
      </c>
      <c r="N69" s="630" t="s">
        <v>183</v>
      </c>
      <c r="O69" s="630" t="s">
        <v>183</v>
      </c>
      <c r="P69" s="633"/>
      <c r="Q69" s="630" t="s">
        <v>183</v>
      </c>
    </row>
    <row r="70" spans="1:17" ht="55.5" customHeight="1">
      <c r="A70" s="842"/>
      <c r="B70" s="758"/>
      <c r="C70" s="824"/>
      <c r="D70" s="830"/>
      <c r="E70" s="837"/>
      <c r="F70" s="834"/>
      <c r="G70" s="832"/>
      <c r="H70" s="832"/>
      <c r="I70" s="832"/>
      <c r="J70" s="92" t="s">
        <v>230</v>
      </c>
      <c r="K70" s="629" t="s">
        <v>170</v>
      </c>
      <c r="L70" s="630">
        <v>42</v>
      </c>
      <c r="M70" s="630" t="s">
        <v>183</v>
      </c>
      <c r="N70" s="630" t="s">
        <v>183</v>
      </c>
      <c r="O70" s="630" t="s">
        <v>183</v>
      </c>
      <c r="P70" s="633"/>
      <c r="Q70" s="630" t="s">
        <v>183</v>
      </c>
    </row>
    <row r="71" spans="1:17" ht="60.75" customHeight="1">
      <c r="A71" s="842"/>
      <c r="B71" s="843"/>
      <c r="C71" s="824"/>
      <c r="D71" s="750"/>
      <c r="E71" s="751"/>
      <c r="F71" s="819"/>
      <c r="G71" s="833"/>
      <c r="H71" s="833"/>
      <c r="I71" s="833"/>
      <c r="J71" s="96" t="s">
        <v>231</v>
      </c>
      <c r="K71" s="629" t="s">
        <v>168</v>
      </c>
      <c r="L71" s="630">
        <v>4427</v>
      </c>
      <c r="M71" s="630" t="s">
        <v>183</v>
      </c>
      <c r="N71" s="630" t="s">
        <v>183</v>
      </c>
      <c r="O71" s="630" t="s">
        <v>183</v>
      </c>
      <c r="P71" s="633"/>
      <c r="Q71" s="630" t="s">
        <v>183</v>
      </c>
    </row>
    <row r="72" spans="1:17" ht="143.25" customHeight="1">
      <c r="A72" s="841">
        <v>5</v>
      </c>
      <c r="B72" s="757">
        <v>3</v>
      </c>
      <c r="C72" s="824" t="s">
        <v>443</v>
      </c>
      <c r="D72" s="798" t="s">
        <v>210</v>
      </c>
      <c r="E72" s="743" t="s">
        <v>207</v>
      </c>
      <c r="F72" s="733"/>
      <c r="G72" s="737">
        <v>8968.1</v>
      </c>
      <c r="H72" s="737">
        <f>G72*1%+G72</f>
        <v>9057.781</v>
      </c>
      <c r="I72" s="737">
        <f>H72*1%+H72</f>
        <v>9148.358810000002</v>
      </c>
      <c r="J72" s="86" t="s">
        <v>233</v>
      </c>
      <c r="K72" s="629" t="s">
        <v>170</v>
      </c>
      <c r="L72" s="630" t="s">
        <v>183</v>
      </c>
      <c r="M72" s="630" t="s">
        <v>183</v>
      </c>
      <c r="N72" s="630" t="s">
        <v>183</v>
      </c>
      <c r="O72" s="630" t="s">
        <v>183</v>
      </c>
      <c r="P72" s="633"/>
      <c r="Q72" s="630" t="s">
        <v>183</v>
      </c>
    </row>
    <row r="73" spans="1:17" ht="144.75" customHeight="1">
      <c r="A73" s="842"/>
      <c r="B73" s="843"/>
      <c r="C73" s="824"/>
      <c r="D73" s="800"/>
      <c r="E73" s="751"/>
      <c r="F73" s="734"/>
      <c r="G73" s="738"/>
      <c r="H73" s="738"/>
      <c r="I73" s="738"/>
      <c r="J73" s="86" t="s">
        <v>234</v>
      </c>
      <c r="K73" s="629" t="s">
        <v>170</v>
      </c>
      <c r="L73" s="630" t="s">
        <v>183</v>
      </c>
      <c r="M73" s="630" t="s">
        <v>183</v>
      </c>
      <c r="N73" s="630" t="s">
        <v>183</v>
      </c>
      <c r="O73" s="630" t="s">
        <v>183</v>
      </c>
      <c r="P73" s="633"/>
      <c r="Q73" s="630" t="s">
        <v>183</v>
      </c>
    </row>
    <row r="74" spans="1:17" ht="15.75">
      <c r="A74" s="484"/>
      <c r="B74" s="230"/>
      <c r="C74" s="162" t="s">
        <v>160</v>
      </c>
      <c r="D74" s="163"/>
      <c r="E74" s="162"/>
      <c r="F74" s="164"/>
      <c r="G74" s="165">
        <f>G68+G72</f>
        <v>57202.9</v>
      </c>
      <c r="H74" s="165">
        <f>H68+H72</f>
        <v>57774.929000000004</v>
      </c>
      <c r="I74" s="165">
        <f>I68+I72</f>
        <v>58352.678289999996</v>
      </c>
      <c r="J74" s="171"/>
      <c r="K74" s="661"/>
      <c r="L74" s="631"/>
      <c r="M74" s="631"/>
      <c r="N74" s="632"/>
      <c r="O74" s="631"/>
      <c r="P74" s="633"/>
      <c r="Q74" s="631"/>
    </row>
    <row r="75" spans="1:17" ht="124.5" customHeight="1">
      <c r="A75" s="228"/>
      <c r="B75" s="236"/>
      <c r="C75" s="607" t="s">
        <v>37</v>
      </c>
      <c r="D75" s="611" t="s">
        <v>206</v>
      </c>
      <c r="E75" s="612" t="s">
        <v>424</v>
      </c>
      <c r="F75" s="114"/>
      <c r="G75" s="118"/>
      <c r="H75" s="118"/>
      <c r="I75" s="118"/>
      <c r="J75" s="86" t="s">
        <v>241</v>
      </c>
      <c r="K75" s="629" t="s">
        <v>149</v>
      </c>
      <c r="L75" s="631">
        <v>1</v>
      </c>
      <c r="M75" s="631">
        <v>1.2</v>
      </c>
      <c r="N75" s="632">
        <v>1.2</v>
      </c>
      <c r="O75" s="631">
        <v>1.2</v>
      </c>
      <c r="P75" s="633"/>
      <c r="Q75" s="631">
        <v>1.2</v>
      </c>
    </row>
    <row r="76" spans="1:17" ht="114">
      <c r="A76" s="228">
        <v>6</v>
      </c>
      <c r="B76" s="236">
        <v>1</v>
      </c>
      <c r="C76" s="90" t="s">
        <v>444</v>
      </c>
      <c r="D76" s="613" t="s">
        <v>425</v>
      </c>
      <c r="E76" s="612" t="s">
        <v>424</v>
      </c>
      <c r="F76" s="108"/>
      <c r="G76" s="667">
        <v>165353</v>
      </c>
      <c r="H76" s="667">
        <v>155394.1</v>
      </c>
      <c r="I76" s="667">
        <f>H76*1%+H76</f>
        <v>156948.041</v>
      </c>
      <c r="J76" s="86" t="s">
        <v>237</v>
      </c>
      <c r="K76" s="629" t="s">
        <v>149</v>
      </c>
      <c r="L76" s="631">
        <v>65</v>
      </c>
      <c r="M76" s="631">
        <v>70</v>
      </c>
      <c r="N76" s="632">
        <v>70</v>
      </c>
      <c r="O76" s="631">
        <v>70</v>
      </c>
      <c r="P76" s="633"/>
      <c r="Q76" s="631">
        <v>70</v>
      </c>
    </row>
    <row r="77" spans="1:17" ht="45" customHeight="1">
      <c r="A77" s="847">
        <v>6</v>
      </c>
      <c r="B77" s="757">
        <v>1</v>
      </c>
      <c r="C77" s="840" t="s">
        <v>445</v>
      </c>
      <c r="D77" s="838" t="s">
        <v>425</v>
      </c>
      <c r="E77" s="808" t="s">
        <v>424</v>
      </c>
      <c r="F77" s="765" t="s">
        <v>222</v>
      </c>
      <c r="G77" s="737">
        <v>1800</v>
      </c>
      <c r="H77" s="737">
        <f>G77*1%+G77</f>
        <v>1818</v>
      </c>
      <c r="I77" s="737">
        <f>H77*1%+H77</f>
        <v>1836.18</v>
      </c>
      <c r="J77" s="773" t="s">
        <v>238</v>
      </c>
      <c r="K77" s="867" t="s">
        <v>149</v>
      </c>
      <c r="L77" s="867" t="s">
        <v>408</v>
      </c>
      <c r="M77" s="867" t="s">
        <v>408</v>
      </c>
      <c r="N77" s="867" t="s">
        <v>408</v>
      </c>
      <c r="O77" s="867" t="s">
        <v>408</v>
      </c>
      <c r="P77" s="662"/>
      <c r="Q77" s="867" t="s">
        <v>408</v>
      </c>
    </row>
    <row r="78" spans="1:17" ht="42.75" customHeight="1">
      <c r="A78" s="848"/>
      <c r="B78" s="758"/>
      <c r="C78" s="840"/>
      <c r="D78" s="839"/>
      <c r="E78" s="809"/>
      <c r="F78" s="766"/>
      <c r="G78" s="836"/>
      <c r="H78" s="836"/>
      <c r="I78" s="836"/>
      <c r="J78" s="788"/>
      <c r="K78" s="868"/>
      <c r="L78" s="868"/>
      <c r="M78" s="868"/>
      <c r="N78" s="868"/>
      <c r="O78" s="868"/>
      <c r="P78" s="633"/>
      <c r="Q78" s="868"/>
    </row>
    <row r="79" spans="1:17" ht="15.75">
      <c r="A79" s="482"/>
      <c r="B79" s="483"/>
      <c r="C79" s="162" t="s">
        <v>160</v>
      </c>
      <c r="D79" s="163"/>
      <c r="E79" s="162"/>
      <c r="F79" s="164"/>
      <c r="G79" s="165">
        <f>G76+G77</f>
        <v>167153</v>
      </c>
      <c r="H79" s="165">
        <f>H76+H77</f>
        <v>157212.1</v>
      </c>
      <c r="I79" s="165">
        <f>I76+I77</f>
        <v>158784.221</v>
      </c>
      <c r="J79" s="171"/>
      <c r="K79" s="176"/>
      <c r="L79" s="168"/>
      <c r="M79" s="168"/>
      <c r="N79" s="168"/>
      <c r="O79" s="168"/>
      <c r="Q79" s="168"/>
    </row>
    <row r="80" spans="1:17" ht="15.75">
      <c r="A80" s="482"/>
      <c r="B80" s="483"/>
      <c r="C80" s="98" t="s">
        <v>105</v>
      </c>
      <c r="D80" s="143"/>
      <c r="E80" s="98"/>
      <c r="F80" s="155"/>
      <c r="G80" s="117">
        <f>G20+G45+G58+G65+G74+G79</f>
        <v>28915976.199999996</v>
      </c>
      <c r="H80" s="117">
        <f>H20+H45+H58+H65+H74+H79</f>
        <v>29188490.425</v>
      </c>
      <c r="I80" s="117">
        <f>I20+I45+I58+I65+I74+I79</f>
        <v>29966532.222249996</v>
      </c>
      <c r="J80" s="88"/>
      <c r="K80" s="114"/>
      <c r="L80" s="110"/>
      <c r="M80" s="111"/>
      <c r="N80" s="112"/>
      <c r="O80" s="111"/>
      <c r="Q80" s="111"/>
    </row>
    <row r="81" spans="2:9" ht="15.75">
      <c r="B81" s="101"/>
      <c r="C81" s="231"/>
      <c r="D81" s="425"/>
      <c r="E81" s="426"/>
      <c r="F81" s="427"/>
      <c r="G81" s="428"/>
      <c r="H81" s="428">
        <f>H80/G80*100</f>
        <v>100.94243480875464</v>
      </c>
      <c r="I81" s="429">
        <f>I80/H80*100</f>
        <v>102.66557737629213</v>
      </c>
    </row>
    <row r="82" spans="3:10" ht="15.75">
      <c r="C82" s="568"/>
      <c r="D82" s="569"/>
      <c r="E82" s="569"/>
      <c r="F82" s="570"/>
      <c r="G82" s="571"/>
      <c r="H82" s="571"/>
      <c r="I82" s="571"/>
      <c r="J82" s="569"/>
    </row>
    <row r="83" spans="3:10" ht="15.75">
      <c r="C83" s="568"/>
      <c r="D83" s="569"/>
      <c r="E83" s="569"/>
      <c r="F83" s="570"/>
      <c r="G83" s="571"/>
      <c r="H83" s="571"/>
      <c r="I83" s="571"/>
      <c r="J83" s="569"/>
    </row>
    <row r="84" spans="3:10" ht="15.75">
      <c r="C84" s="568"/>
      <c r="D84" s="569"/>
      <c r="E84" s="569"/>
      <c r="F84" s="570"/>
      <c r="G84" s="571"/>
      <c r="H84" s="572"/>
      <c r="I84" s="570"/>
      <c r="J84" s="569"/>
    </row>
    <row r="85" spans="3:10" ht="15.75">
      <c r="C85" s="568"/>
      <c r="D85" s="569"/>
      <c r="E85" s="569"/>
      <c r="F85" s="570"/>
      <c r="G85" s="571"/>
      <c r="H85" s="573"/>
      <c r="I85" s="570"/>
      <c r="J85" s="569"/>
    </row>
    <row r="86" spans="3:10" ht="15.75">
      <c r="C86" s="568"/>
      <c r="D86" s="569"/>
      <c r="E86" s="569"/>
      <c r="F86" s="570"/>
      <c r="G86" s="571"/>
      <c r="H86" s="574"/>
      <c r="I86" s="570"/>
      <c r="J86" s="569"/>
    </row>
    <row r="87" spans="3:10" ht="15.75">
      <c r="C87" s="568"/>
      <c r="D87" s="569"/>
      <c r="E87" s="569"/>
      <c r="F87" s="570"/>
      <c r="G87" s="571"/>
      <c r="H87" s="575"/>
      <c r="I87" s="570"/>
      <c r="J87" s="569"/>
    </row>
    <row r="88" spans="3:10" ht="15.75">
      <c r="C88" s="568"/>
      <c r="D88" s="569"/>
      <c r="E88" s="569"/>
      <c r="F88" s="570"/>
      <c r="G88" s="571"/>
      <c r="H88" s="573"/>
      <c r="I88" s="570"/>
      <c r="J88" s="569"/>
    </row>
    <row r="89" spans="3:10" ht="15.75">
      <c r="C89" s="568"/>
      <c r="D89" s="569"/>
      <c r="E89" s="569"/>
      <c r="F89" s="570"/>
      <c r="G89" s="571"/>
      <c r="H89" s="573"/>
      <c r="I89" s="573"/>
      <c r="J89" s="569"/>
    </row>
    <row r="90" spans="3:10" ht="15.75">
      <c r="C90" s="568"/>
      <c r="D90" s="569"/>
      <c r="E90" s="569"/>
      <c r="F90" s="570"/>
      <c r="G90" s="571"/>
      <c r="H90" s="576"/>
      <c r="I90" s="570"/>
      <c r="J90" s="569"/>
    </row>
    <row r="91" spans="3:10" ht="15.75">
      <c r="C91" s="568"/>
      <c r="D91" s="569"/>
      <c r="E91" s="569"/>
      <c r="F91" s="570"/>
      <c r="G91" s="571"/>
      <c r="H91" s="570"/>
      <c r="I91" s="570"/>
      <c r="J91" s="569"/>
    </row>
    <row r="92" spans="3:10" ht="15.75">
      <c r="C92" s="568"/>
      <c r="D92" s="569"/>
      <c r="E92" s="569"/>
      <c r="F92" s="570"/>
      <c r="G92" s="571"/>
      <c r="H92" s="570"/>
      <c r="I92" s="576"/>
      <c r="J92" s="569"/>
    </row>
    <row r="93" spans="3:10" ht="15.75">
      <c r="C93" s="568"/>
      <c r="D93" s="569"/>
      <c r="E93" s="569"/>
      <c r="F93" s="570"/>
      <c r="G93" s="571"/>
      <c r="H93" s="570"/>
      <c r="I93" s="570"/>
      <c r="J93" s="569"/>
    </row>
    <row r="94" spans="3:10" ht="15.75">
      <c r="C94" s="568"/>
      <c r="D94" s="569"/>
      <c r="E94" s="569"/>
      <c r="F94" s="570"/>
      <c r="G94" s="571"/>
      <c r="H94" s="576"/>
      <c r="I94" s="570"/>
      <c r="J94" s="569"/>
    </row>
  </sheetData>
  <sheetProtection/>
  <mergeCells count="218">
    <mergeCell ref="P30:P32"/>
    <mergeCell ref="Q30:Q32"/>
    <mergeCell ref="J30:J32"/>
    <mergeCell ref="K30:K32"/>
    <mergeCell ref="L30:L32"/>
    <mergeCell ref="M30:M32"/>
    <mergeCell ref="N30:N32"/>
    <mergeCell ref="O30:O32"/>
    <mergeCell ref="E44:E45"/>
    <mergeCell ref="Q56:Q57"/>
    <mergeCell ref="Q35:Q36"/>
    <mergeCell ref="Q39:Q41"/>
    <mergeCell ref="J77:J78"/>
    <mergeCell ref="K77:K78"/>
    <mergeCell ref="L77:L78"/>
    <mergeCell ref="M77:M78"/>
    <mergeCell ref="N77:N78"/>
    <mergeCell ref="O77:O78"/>
    <mergeCell ref="Q77:Q78"/>
    <mergeCell ref="K39:K41"/>
    <mergeCell ref="L39:L41"/>
    <mergeCell ref="M39:M41"/>
    <mergeCell ref="N39:N41"/>
    <mergeCell ref="O39:O41"/>
    <mergeCell ref="L56:L57"/>
    <mergeCell ref="M56:M57"/>
    <mergeCell ref="N56:N57"/>
    <mergeCell ref="O56:O57"/>
    <mergeCell ref="J35:J36"/>
    <mergeCell ref="K35:K36"/>
    <mergeCell ref="L35:L36"/>
    <mergeCell ref="M35:M36"/>
    <mergeCell ref="N35:N36"/>
    <mergeCell ref="O35:O36"/>
    <mergeCell ref="E48:E49"/>
    <mergeCell ref="A30:A33"/>
    <mergeCell ref="B30:B33"/>
    <mergeCell ref="C30:C33"/>
    <mergeCell ref="D30:D33"/>
    <mergeCell ref="E30:E33"/>
    <mergeCell ref="A38:A41"/>
    <mergeCell ref="B35:B36"/>
    <mergeCell ref="A35:A36"/>
    <mergeCell ref="B46:B47"/>
    <mergeCell ref="F30:F33"/>
    <mergeCell ref="B38:B41"/>
    <mergeCell ref="A13:A18"/>
    <mergeCell ref="B13:B18"/>
    <mergeCell ref="C13:C18"/>
    <mergeCell ref="D13:D18"/>
    <mergeCell ref="A22:A29"/>
    <mergeCell ref="B22:B29"/>
    <mergeCell ref="C22:C29"/>
    <mergeCell ref="D22:D29"/>
    <mergeCell ref="I13:I18"/>
    <mergeCell ref="E22:E29"/>
    <mergeCell ref="F22:F29"/>
    <mergeCell ref="G22:G29"/>
    <mergeCell ref="H22:H29"/>
    <mergeCell ref="I22:I29"/>
    <mergeCell ref="F13:F18"/>
    <mergeCell ref="C68:C71"/>
    <mergeCell ref="C66:C67"/>
    <mergeCell ref="B42:B43"/>
    <mergeCell ref="A77:A78"/>
    <mergeCell ref="B77:B78"/>
    <mergeCell ref="A63:A64"/>
    <mergeCell ref="B63:B64"/>
    <mergeCell ref="A66:A67"/>
    <mergeCell ref="B66:B67"/>
    <mergeCell ref="A48:A49"/>
    <mergeCell ref="A72:A73"/>
    <mergeCell ref="B72:B73"/>
    <mergeCell ref="A68:A71"/>
    <mergeCell ref="B68:B71"/>
    <mergeCell ref="A42:A43"/>
    <mergeCell ref="B48:B49"/>
    <mergeCell ref="A59:A60"/>
    <mergeCell ref="B59:B60"/>
    <mergeCell ref="A61:A62"/>
    <mergeCell ref="B61:B62"/>
    <mergeCell ref="G77:G78"/>
    <mergeCell ref="C72:C73"/>
    <mergeCell ref="D72:D73"/>
    <mergeCell ref="E72:E73"/>
    <mergeCell ref="D77:D78"/>
    <mergeCell ref="E77:E78"/>
    <mergeCell ref="C77:C78"/>
    <mergeCell ref="F77:F78"/>
    <mergeCell ref="G72:G73"/>
    <mergeCell ref="D68:D71"/>
    <mergeCell ref="D66:D67"/>
    <mergeCell ref="D63:D64"/>
    <mergeCell ref="C63:C64"/>
    <mergeCell ref="C61:C62"/>
    <mergeCell ref="I77:I78"/>
    <mergeCell ref="H72:H73"/>
    <mergeCell ref="I72:I73"/>
    <mergeCell ref="H77:H78"/>
    <mergeCell ref="E68:E71"/>
    <mergeCell ref="I63:I64"/>
    <mergeCell ref="I66:I67"/>
    <mergeCell ref="G68:G71"/>
    <mergeCell ref="E63:E64"/>
    <mergeCell ref="F63:F64"/>
    <mergeCell ref="E66:E67"/>
    <mergeCell ref="I68:I71"/>
    <mergeCell ref="F68:F71"/>
    <mergeCell ref="F66:F67"/>
    <mergeCell ref="E9:E11"/>
    <mergeCell ref="D9:D11"/>
    <mergeCell ref="E13:E18"/>
    <mergeCell ref="D38:D41"/>
    <mergeCell ref="F9:F11"/>
    <mergeCell ref="H68:H71"/>
    <mergeCell ref="G66:G67"/>
    <mergeCell ref="H63:H64"/>
    <mergeCell ref="F61:F62"/>
    <mergeCell ref="H61:H62"/>
    <mergeCell ref="C48:C49"/>
    <mergeCell ref="D48:D49"/>
    <mergeCell ref="C9:C11"/>
    <mergeCell ref="C38:C41"/>
    <mergeCell ref="C42:C43"/>
    <mergeCell ref="D35:D36"/>
    <mergeCell ref="I35:I36"/>
    <mergeCell ref="E38:E41"/>
    <mergeCell ref="C35:C36"/>
    <mergeCell ref="G35:G36"/>
    <mergeCell ref="E42:E43"/>
    <mergeCell ref="D42:D43"/>
    <mergeCell ref="H35:H36"/>
    <mergeCell ref="E35:E36"/>
    <mergeCell ref="F42:F43"/>
    <mergeCell ref="G9:I10"/>
    <mergeCell ref="J9:J11"/>
    <mergeCell ref="K9:K11"/>
    <mergeCell ref="L9:L10"/>
    <mergeCell ref="O28:O29"/>
    <mergeCell ref="K22:K23"/>
    <mergeCell ref="K28:K29"/>
    <mergeCell ref="O22:O23"/>
    <mergeCell ref="G13:G18"/>
    <mergeCell ref="H13:H18"/>
    <mergeCell ref="J28:J29"/>
    <mergeCell ref="L22:L23"/>
    <mergeCell ref="F38:F41"/>
    <mergeCell ref="J22:J23"/>
    <mergeCell ref="L28:L29"/>
    <mergeCell ref="I38:I41"/>
    <mergeCell ref="F35:F36"/>
    <mergeCell ref="G30:G33"/>
    <mergeCell ref="H30:H33"/>
    <mergeCell ref="I30:I33"/>
    <mergeCell ref="F48:F49"/>
    <mergeCell ref="I48:I49"/>
    <mergeCell ref="H38:H41"/>
    <mergeCell ref="J42:J43"/>
    <mergeCell ref="G38:G41"/>
    <mergeCell ref="G48:G49"/>
    <mergeCell ref="J39:J41"/>
    <mergeCell ref="J66:J67"/>
    <mergeCell ref="L66:L67"/>
    <mergeCell ref="M66:M67"/>
    <mergeCell ref="L42:L43"/>
    <mergeCell ref="N66:N67"/>
    <mergeCell ref="K66:K67"/>
    <mergeCell ref="K63:K64"/>
    <mergeCell ref="J63:J64"/>
    <mergeCell ref="J56:J57"/>
    <mergeCell ref="K56:K57"/>
    <mergeCell ref="O63:O64"/>
    <mergeCell ref="M63:M64"/>
    <mergeCell ref="M28:M29"/>
    <mergeCell ref="N28:N29"/>
    <mergeCell ref="N63:N64"/>
    <mergeCell ref="O42:O43"/>
    <mergeCell ref="N42:N43"/>
    <mergeCell ref="A53:A57"/>
    <mergeCell ref="B53:B57"/>
    <mergeCell ref="D53:D57"/>
    <mergeCell ref="E53:E57"/>
    <mergeCell ref="F53:F57"/>
    <mergeCell ref="M22:M23"/>
    <mergeCell ref="H48:H49"/>
    <mergeCell ref="G53:G57"/>
    <mergeCell ref="H53:H57"/>
    <mergeCell ref="A46:A47"/>
    <mergeCell ref="H59:H60"/>
    <mergeCell ref="C53:C57"/>
    <mergeCell ref="G61:G62"/>
    <mergeCell ref="I53:I57"/>
    <mergeCell ref="D59:D60"/>
    <mergeCell ref="E59:E60"/>
    <mergeCell ref="D61:D62"/>
    <mergeCell ref="E61:E62"/>
    <mergeCell ref="C59:C60"/>
    <mergeCell ref="I61:I62"/>
    <mergeCell ref="Q63:Q64"/>
    <mergeCell ref="Q66:Q67"/>
    <mergeCell ref="O66:O67"/>
    <mergeCell ref="F72:F73"/>
    <mergeCell ref="I59:I60"/>
    <mergeCell ref="L63:L64"/>
    <mergeCell ref="G63:G64"/>
    <mergeCell ref="H66:H67"/>
    <mergeCell ref="G59:G60"/>
    <mergeCell ref="F59:F60"/>
    <mergeCell ref="M9:Q9"/>
    <mergeCell ref="M10:Q10"/>
    <mergeCell ref="Q22:Q23"/>
    <mergeCell ref="Q28:Q29"/>
    <mergeCell ref="C46:C47"/>
    <mergeCell ref="Q42:Q43"/>
    <mergeCell ref="M42:M43"/>
    <mergeCell ref="N22:N23"/>
    <mergeCell ref="G42:I43"/>
    <mergeCell ref="K42:K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80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4.8515625" style="0" customWidth="1"/>
    <col min="2" max="2" width="14.28125" style="0" bestFit="1" customWidth="1"/>
    <col min="3" max="3" width="12.421875" style="0" customWidth="1"/>
    <col min="4" max="4" width="12.421875" style="0" bestFit="1" customWidth="1"/>
    <col min="5" max="5" width="11.57421875" style="0" customWidth="1"/>
    <col min="6" max="6" width="11.00390625" style="0" customWidth="1"/>
    <col min="7" max="7" width="11.8515625" style="0" customWidth="1"/>
    <col min="8" max="9" width="11.00390625" style="0" customWidth="1"/>
    <col min="10" max="10" width="11.8515625" style="0" customWidth="1"/>
    <col min="11" max="11" width="12.28125" style="0" customWidth="1"/>
    <col min="12" max="12" width="13.57421875" style="0" bestFit="1" customWidth="1"/>
    <col min="13" max="13" width="11.7109375" style="0" bestFit="1" customWidth="1"/>
  </cols>
  <sheetData>
    <row r="1" spans="12:13" ht="12.75">
      <c r="L1" s="1" t="s">
        <v>100</v>
      </c>
      <c r="M1" s="1"/>
    </row>
    <row r="2" ht="18" customHeight="1">
      <c r="A2" s="2" t="s">
        <v>114</v>
      </c>
    </row>
    <row r="3" ht="20.25" customHeight="1" thickBot="1">
      <c r="A3" s="18" t="s">
        <v>101</v>
      </c>
    </row>
    <row r="4" spans="1:12" ht="12.75" customHeight="1">
      <c r="A4" s="892"/>
      <c r="B4" s="892"/>
      <c r="C4" s="892"/>
      <c r="D4" s="892"/>
      <c r="E4" s="892"/>
      <c r="F4" s="892"/>
      <c r="G4" s="892"/>
      <c r="H4" s="892"/>
      <c r="I4" s="892"/>
      <c r="J4" s="892"/>
      <c r="K4" s="19"/>
      <c r="L4" s="212"/>
    </row>
    <row r="5" spans="1:12" ht="12.75">
      <c r="A5" s="669"/>
      <c r="B5" s="669"/>
      <c r="C5" s="669"/>
      <c r="D5" s="669"/>
      <c r="E5" s="670"/>
      <c r="F5" s="670"/>
      <c r="G5" s="669"/>
      <c r="H5" s="669"/>
      <c r="I5" s="669"/>
      <c r="J5" s="669"/>
      <c r="K5" s="669"/>
      <c r="L5" s="669"/>
    </row>
    <row r="6" spans="1:12" ht="15.75" thickBot="1">
      <c r="A6" s="893" t="s">
        <v>335</v>
      </c>
      <c r="B6" s="893"/>
      <c r="C6" s="893"/>
      <c r="D6" s="893"/>
      <c r="E6" s="893"/>
      <c r="F6" s="893"/>
      <c r="G6" s="671"/>
      <c r="H6" s="671"/>
      <c r="I6" s="671"/>
      <c r="J6" s="671"/>
      <c r="K6" s="669"/>
      <c r="L6" s="672" t="s">
        <v>115</v>
      </c>
    </row>
    <row r="7" spans="1:12" ht="27" customHeight="1" thickBot="1">
      <c r="A7" s="894" t="s">
        <v>111</v>
      </c>
      <c r="B7" s="884" t="s">
        <v>119</v>
      </c>
      <c r="C7" s="896"/>
      <c r="D7" s="896"/>
      <c r="E7" s="896"/>
      <c r="F7" s="894" t="s">
        <v>120</v>
      </c>
      <c r="G7" s="894" t="s">
        <v>121</v>
      </c>
      <c r="H7" s="886" t="s">
        <v>122</v>
      </c>
      <c r="I7" s="877"/>
      <c r="J7" s="877"/>
      <c r="K7" s="673"/>
      <c r="L7" s="874" t="s">
        <v>124</v>
      </c>
    </row>
    <row r="8" spans="1:12" ht="13.5" thickBot="1">
      <c r="A8" s="895"/>
      <c r="B8" s="674"/>
      <c r="C8" s="897" t="s">
        <v>117</v>
      </c>
      <c r="D8" s="898"/>
      <c r="E8" s="884" t="s">
        <v>123</v>
      </c>
      <c r="F8" s="895"/>
      <c r="G8" s="895"/>
      <c r="H8" s="884" t="s">
        <v>112</v>
      </c>
      <c r="I8" s="877" t="s">
        <v>117</v>
      </c>
      <c r="J8" s="878"/>
      <c r="K8" s="884" t="s">
        <v>123</v>
      </c>
      <c r="L8" s="875"/>
    </row>
    <row r="9" spans="1:12" ht="26.25" thickBot="1">
      <c r="A9" s="887"/>
      <c r="B9" s="675" t="s">
        <v>112</v>
      </c>
      <c r="C9" s="675" t="s">
        <v>116</v>
      </c>
      <c r="D9" s="676" t="s">
        <v>118</v>
      </c>
      <c r="E9" s="885"/>
      <c r="F9" s="887"/>
      <c r="G9" s="887"/>
      <c r="H9" s="887"/>
      <c r="I9" s="677" t="s">
        <v>116</v>
      </c>
      <c r="J9" s="678" t="s">
        <v>118</v>
      </c>
      <c r="K9" s="885"/>
      <c r="L9" s="876"/>
    </row>
    <row r="10" spans="1:13" ht="26.25" thickBot="1">
      <c r="A10" s="679" t="s">
        <v>102</v>
      </c>
      <c r="B10" s="680">
        <v>348887.7</v>
      </c>
      <c r="C10" s="681">
        <v>192684.2</v>
      </c>
      <c r="D10" s="680">
        <v>32536.3</v>
      </c>
      <c r="E10" s="682">
        <v>395900</v>
      </c>
      <c r="F10" s="703"/>
      <c r="G10" s="703"/>
      <c r="H10" s="683">
        <v>1959.4</v>
      </c>
      <c r="I10" s="683">
        <v>1000</v>
      </c>
      <c r="J10" s="683">
        <v>172.5</v>
      </c>
      <c r="K10" s="684">
        <v>300</v>
      </c>
      <c r="L10" s="685">
        <f aca="true" t="shared" si="0" ref="L10:L15">K10+H10+G10+F10+E10+B10</f>
        <v>747047.1000000001</v>
      </c>
      <c r="M10" s="212">
        <f aca="true" t="shared" si="1" ref="M10:M16">L10-F10-G10</f>
        <v>747047.1000000001</v>
      </c>
    </row>
    <row r="11" spans="1:13" ht="26.25" thickBot="1">
      <c r="A11" s="686" t="s">
        <v>398</v>
      </c>
      <c r="B11" s="680">
        <v>21188400.3</v>
      </c>
      <c r="C11" s="687">
        <v>16982576.4</v>
      </c>
      <c r="D11" s="687">
        <v>2929498.5</v>
      </c>
      <c r="E11" s="688"/>
      <c r="F11" s="703">
        <v>442800</v>
      </c>
      <c r="G11" s="703">
        <v>14760</v>
      </c>
      <c r="H11" s="683">
        <v>128795.2</v>
      </c>
      <c r="I11" s="683">
        <v>56626.3</v>
      </c>
      <c r="J11" s="683">
        <v>9898.2</v>
      </c>
      <c r="K11" s="684">
        <v>11492.9</v>
      </c>
      <c r="L11" s="689">
        <f t="shared" si="0"/>
        <v>21786248.400000002</v>
      </c>
      <c r="M11" s="212">
        <f>L11-F11-G11</f>
        <v>21328688.400000002</v>
      </c>
    </row>
    <row r="12" spans="1:14" s="439" customFormat="1" ht="26.25" thickBot="1">
      <c r="A12" s="690" t="s">
        <v>399</v>
      </c>
      <c r="B12" s="691">
        <v>1289173.5</v>
      </c>
      <c r="C12" s="692">
        <v>796044.3</v>
      </c>
      <c r="D12" s="692">
        <v>146632.7</v>
      </c>
      <c r="E12" s="692">
        <v>34585.5</v>
      </c>
      <c r="F12" s="704">
        <v>10740</v>
      </c>
      <c r="G12" s="704">
        <v>35010.7</v>
      </c>
      <c r="H12" s="692">
        <v>337909</v>
      </c>
      <c r="I12" s="692">
        <v>192067.4</v>
      </c>
      <c r="J12" s="693">
        <v>33134</v>
      </c>
      <c r="K12" s="692">
        <v>23435</v>
      </c>
      <c r="L12" s="689">
        <f t="shared" si="0"/>
        <v>1730853.7</v>
      </c>
      <c r="M12" s="212">
        <f t="shared" si="1"/>
        <v>1685103</v>
      </c>
      <c r="N12" s="438"/>
    </row>
    <row r="13" spans="1:13" ht="26.25" thickBot="1">
      <c r="A13" s="686" t="s">
        <v>400</v>
      </c>
      <c r="B13" s="680">
        <v>568371</v>
      </c>
      <c r="C13" s="688"/>
      <c r="D13" s="684"/>
      <c r="E13" s="688"/>
      <c r="F13" s="683"/>
      <c r="G13" s="683"/>
      <c r="H13" s="683">
        <v>3859100</v>
      </c>
      <c r="I13" s="683"/>
      <c r="J13" s="683"/>
      <c r="K13" s="684"/>
      <c r="L13" s="685">
        <f>K13+H13+G13+F13+E13+B13</f>
        <v>4427471</v>
      </c>
      <c r="M13" s="212">
        <f t="shared" si="1"/>
        <v>4427471</v>
      </c>
    </row>
    <row r="14" spans="1:13" ht="13.5" thickBot="1">
      <c r="A14" s="686" t="s">
        <v>401</v>
      </c>
      <c r="B14" s="680">
        <v>48234.8</v>
      </c>
      <c r="C14" s="688">
        <v>36506.5</v>
      </c>
      <c r="D14" s="684">
        <v>6297.4</v>
      </c>
      <c r="E14" s="688"/>
      <c r="F14" s="683"/>
      <c r="G14" s="683"/>
      <c r="H14" s="694">
        <v>7946.4</v>
      </c>
      <c r="I14" s="683">
        <v>3347.2</v>
      </c>
      <c r="J14" s="683">
        <v>577.4</v>
      </c>
      <c r="K14" s="684">
        <v>1021.7</v>
      </c>
      <c r="L14" s="685">
        <f t="shared" si="0"/>
        <v>57202.9</v>
      </c>
      <c r="M14" s="212">
        <f t="shared" si="1"/>
        <v>57202.9</v>
      </c>
    </row>
    <row r="15" spans="1:13" ht="13.5" thickBot="1">
      <c r="A15" s="686" t="s">
        <v>402</v>
      </c>
      <c r="B15" s="680">
        <v>165353</v>
      </c>
      <c r="C15" s="688">
        <v>127567.8</v>
      </c>
      <c r="D15" s="684">
        <v>22005.4</v>
      </c>
      <c r="E15" s="688"/>
      <c r="F15" s="683"/>
      <c r="G15" s="684"/>
      <c r="H15" s="695">
        <v>1710</v>
      </c>
      <c r="I15" s="687">
        <v>440</v>
      </c>
      <c r="J15" s="687">
        <v>83.6</v>
      </c>
      <c r="K15" s="696">
        <v>90</v>
      </c>
      <c r="L15" s="685">
        <f t="shared" si="0"/>
        <v>167153</v>
      </c>
      <c r="M15" s="212">
        <f t="shared" si="1"/>
        <v>167153</v>
      </c>
    </row>
    <row r="16" spans="1:13" ht="13.5" thickBot="1">
      <c r="A16" s="697"/>
      <c r="B16" s="698"/>
      <c r="C16" s="699"/>
      <c r="D16" s="700"/>
      <c r="E16" s="699"/>
      <c r="F16" s="698"/>
      <c r="G16" s="698"/>
      <c r="H16" s="683"/>
      <c r="I16" s="698"/>
      <c r="J16" s="698"/>
      <c r="K16" s="700"/>
      <c r="L16" s="685">
        <f>H16+G16+E16+B16</f>
        <v>0</v>
      </c>
      <c r="M16" s="212">
        <f t="shared" si="1"/>
        <v>0</v>
      </c>
    </row>
    <row r="17" spans="1:13" ht="13.5" thickBot="1">
      <c r="A17" s="701" t="s">
        <v>113</v>
      </c>
      <c r="B17" s="702">
        <f>B10+B11+B13+B14+B15+B12</f>
        <v>23608420.3</v>
      </c>
      <c r="C17" s="702">
        <f aca="true" t="shared" si="2" ref="C17:L17">C10+C11+C13+C14+C15+C12</f>
        <v>18135379.2</v>
      </c>
      <c r="D17" s="702">
        <f t="shared" si="2"/>
        <v>3136970.3</v>
      </c>
      <c r="E17" s="702">
        <f t="shared" si="2"/>
        <v>430485.5</v>
      </c>
      <c r="F17" s="702">
        <f t="shared" si="2"/>
        <v>453540</v>
      </c>
      <c r="G17" s="702">
        <f t="shared" si="2"/>
        <v>49770.7</v>
      </c>
      <c r="H17" s="702">
        <f t="shared" si="2"/>
        <v>4337420</v>
      </c>
      <c r="I17" s="702">
        <f t="shared" si="2"/>
        <v>253480.9</v>
      </c>
      <c r="J17" s="702">
        <f t="shared" si="2"/>
        <v>43865.7</v>
      </c>
      <c r="K17" s="702">
        <f t="shared" si="2"/>
        <v>36339.6</v>
      </c>
      <c r="L17" s="702">
        <f t="shared" si="2"/>
        <v>28915976.1</v>
      </c>
      <c r="M17" s="212">
        <f>L17-F17-G17</f>
        <v>28412665.400000002</v>
      </c>
    </row>
    <row r="18" spans="1:12" ht="12.75">
      <c r="A18" s="27">
        <v>14422146.3</v>
      </c>
      <c r="B18" s="28">
        <v>55803.8</v>
      </c>
      <c r="C18" s="28">
        <v>33257.7</v>
      </c>
      <c r="D18" s="28">
        <v>7289.3</v>
      </c>
      <c r="E18" s="29"/>
      <c r="F18" s="29"/>
      <c r="G18" s="29"/>
      <c r="H18" s="29"/>
      <c r="I18" s="29"/>
      <c r="J18" s="29"/>
      <c r="K18" s="29"/>
      <c r="L18" s="29"/>
    </row>
    <row r="19" spans="1:12" ht="15.75" thickBot="1">
      <c r="A19" s="899" t="s">
        <v>403</v>
      </c>
      <c r="B19" s="899"/>
      <c r="C19" s="899"/>
      <c r="D19" s="899"/>
      <c r="E19" s="899"/>
      <c r="F19" s="899"/>
      <c r="G19" s="20"/>
      <c r="H19" s="20"/>
      <c r="I19" s="20"/>
      <c r="J19" s="20"/>
      <c r="L19" s="21" t="s">
        <v>115</v>
      </c>
    </row>
    <row r="20" spans="1:12" ht="27" customHeight="1" thickBot="1">
      <c r="A20" s="900" t="s">
        <v>111</v>
      </c>
      <c r="B20" s="882" t="s">
        <v>119</v>
      </c>
      <c r="C20" s="902"/>
      <c r="D20" s="902"/>
      <c r="E20" s="902"/>
      <c r="F20" s="900" t="s">
        <v>120</v>
      </c>
      <c r="G20" s="900" t="s">
        <v>121</v>
      </c>
      <c r="H20" s="890" t="s">
        <v>122</v>
      </c>
      <c r="I20" s="888"/>
      <c r="J20" s="888"/>
      <c r="K20" s="11"/>
      <c r="L20" s="879" t="s">
        <v>124</v>
      </c>
    </row>
    <row r="21" spans="1:12" ht="13.5" customHeight="1" thickBot="1">
      <c r="A21" s="901"/>
      <c r="B21" s="6"/>
      <c r="C21" s="903" t="s">
        <v>117</v>
      </c>
      <c r="D21" s="904"/>
      <c r="E21" s="882" t="s">
        <v>123</v>
      </c>
      <c r="F21" s="901"/>
      <c r="G21" s="901"/>
      <c r="H21" s="882" t="s">
        <v>112</v>
      </c>
      <c r="I21" s="888" t="s">
        <v>117</v>
      </c>
      <c r="J21" s="889"/>
      <c r="K21" s="882" t="s">
        <v>123</v>
      </c>
      <c r="L21" s="880"/>
    </row>
    <row r="22" spans="1:12" ht="26.25" thickBot="1">
      <c r="A22" s="891"/>
      <c r="B22" s="5" t="s">
        <v>112</v>
      </c>
      <c r="C22" s="156" t="s">
        <v>116</v>
      </c>
      <c r="D22" s="157" t="s">
        <v>118</v>
      </c>
      <c r="E22" s="883"/>
      <c r="F22" s="891"/>
      <c r="G22" s="891"/>
      <c r="H22" s="891"/>
      <c r="I22" s="8" t="s">
        <v>116</v>
      </c>
      <c r="J22" s="9" t="s">
        <v>118</v>
      </c>
      <c r="K22" s="883"/>
      <c r="L22" s="881"/>
    </row>
    <row r="23" spans="1:13" ht="26.25" thickBot="1">
      <c r="A23" s="563" t="s">
        <v>102</v>
      </c>
      <c r="B23" s="187">
        <f aca="true" t="shared" si="3" ref="B23:B28">B10*101%</f>
        <v>352376.577</v>
      </c>
      <c r="C23" s="187">
        <f aca="true" t="shared" si="4" ref="C23:K23">C10*101%</f>
        <v>194611.04200000002</v>
      </c>
      <c r="D23" s="187">
        <f t="shared" si="4"/>
        <v>32861.663</v>
      </c>
      <c r="E23" s="187">
        <f t="shared" si="4"/>
        <v>399859</v>
      </c>
      <c r="F23" s="187"/>
      <c r="G23" s="187"/>
      <c r="H23" s="187">
        <f t="shared" si="4"/>
        <v>1978.9940000000001</v>
      </c>
      <c r="I23" s="187">
        <f t="shared" si="4"/>
        <v>1010</v>
      </c>
      <c r="J23" s="187">
        <f t="shared" si="4"/>
        <v>174.225</v>
      </c>
      <c r="K23" s="187">
        <f t="shared" si="4"/>
        <v>303</v>
      </c>
      <c r="L23" s="188">
        <f aca="true" t="shared" si="5" ref="L23:L28">K23+H23+G23+F23+E23+B23</f>
        <v>754517.571</v>
      </c>
      <c r="M23" s="212">
        <f>L23-F23-G23</f>
        <v>754517.571</v>
      </c>
    </row>
    <row r="24" spans="1:13" ht="26.25" thickBot="1">
      <c r="A24" s="564" t="s">
        <v>398</v>
      </c>
      <c r="B24" s="187">
        <f t="shared" si="3"/>
        <v>21400284.303</v>
      </c>
      <c r="C24" s="187">
        <f aca="true" t="shared" si="6" ref="C24:K24">C11*101%</f>
        <v>17152402.163999997</v>
      </c>
      <c r="D24" s="187">
        <f t="shared" si="6"/>
        <v>2958793.485</v>
      </c>
      <c r="E24" s="187"/>
      <c r="F24" s="187">
        <v>1549800</v>
      </c>
      <c r="G24" s="187">
        <v>14760</v>
      </c>
      <c r="H24" s="187">
        <f t="shared" si="6"/>
        <v>130083.152</v>
      </c>
      <c r="I24" s="187">
        <f t="shared" si="6"/>
        <v>57192.563</v>
      </c>
      <c r="J24" s="187">
        <f t="shared" si="6"/>
        <v>9997.182</v>
      </c>
      <c r="K24" s="187">
        <f t="shared" si="6"/>
        <v>11607.829</v>
      </c>
      <c r="L24" s="440">
        <f t="shared" si="5"/>
        <v>23106535.283999998</v>
      </c>
      <c r="M24" s="212">
        <f>L24-F24-G24</f>
        <v>21541975.283999998</v>
      </c>
    </row>
    <row r="25" spans="1:13" ht="26.25" thickBot="1">
      <c r="A25" s="565" t="s">
        <v>399</v>
      </c>
      <c r="B25" s="187">
        <f t="shared" si="3"/>
        <v>1302065.235</v>
      </c>
      <c r="C25" s="187">
        <f aca="true" t="shared" si="7" ref="C25:K25">C12*101%</f>
        <v>804004.743</v>
      </c>
      <c r="D25" s="187">
        <f t="shared" si="7"/>
        <v>148099.027</v>
      </c>
      <c r="E25" s="187"/>
      <c r="F25" s="187">
        <v>35010.7</v>
      </c>
      <c r="G25" s="187">
        <v>10740</v>
      </c>
      <c r="H25" s="187">
        <f t="shared" si="7"/>
        <v>341288.09</v>
      </c>
      <c r="I25" s="187">
        <f t="shared" si="7"/>
        <v>193988.074</v>
      </c>
      <c r="J25" s="187">
        <f t="shared" si="7"/>
        <v>33465.340000000004</v>
      </c>
      <c r="K25" s="187">
        <f t="shared" si="7"/>
        <v>23669.35</v>
      </c>
      <c r="L25" s="440">
        <f t="shared" si="5"/>
        <v>1712773.375</v>
      </c>
      <c r="M25" s="212">
        <f aca="true" t="shared" si="8" ref="M25:M30">L25-F25-G25</f>
        <v>1667022.675</v>
      </c>
    </row>
    <row r="26" spans="1:13" ht="26.25" thickBot="1">
      <c r="A26" s="564" t="s">
        <v>400</v>
      </c>
      <c r="B26" s="187">
        <f t="shared" si="3"/>
        <v>574054.71</v>
      </c>
      <c r="C26" s="187">
        <f aca="true" t="shared" si="9" ref="C26:K26">C13*101%</f>
        <v>0</v>
      </c>
      <c r="D26" s="187">
        <f t="shared" si="9"/>
        <v>0</v>
      </c>
      <c r="E26" s="187"/>
      <c r="F26" s="187"/>
      <c r="G26" s="187"/>
      <c r="H26" s="187">
        <f t="shared" si="9"/>
        <v>3897691</v>
      </c>
      <c r="I26" s="187">
        <f t="shared" si="9"/>
        <v>0</v>
      </c>
      <c r="J26" s="187">
        <f t="shared" si="9"/>
        <v>0</v>
      </c>
      <c r="K26" s="187">
        <f t="shared" si="9"/>
        <v>0</v>
      </c>
      <c r="L26" s="188">
        <f t="shared" si="5"/>
        <v>4471745.71</v>
      </c>
      <c r="M26" s="212">
        <f t="shared" si="8"/>
        <v>4471745.71</v>
      </c>
    </row>
    <row r="27" spans="1:13" ht="13.5" thickBot="1">
      <c r="A27" s="564" t="s">
        <v>401</v>
      </c>
      <c r="B27" s="187">
        <f t="shared" si="3"/>
        <v>48717.148</v>
      </c>
      <c r="C27" s="187">
        <f aca="true" t="shared" si="10" ref="C27:K27">C14*101%</f>
        <v>36871.565</v>
      </c>
      <c r="D27" s="187">
        <f t="shared" si="10"/>
        <v>6360.374</v>
      </c>
      <c r="E27" s="187"/>
      <c r="F27" s="187"/>
      <c r="G27" s="187"/>
      <c r="H27" s="187">
        <f t="shared" si="10"/>
        <v>8025.864</v>
      </c>
      <c r="I27" s="187">
        <f t="shared" si="10"/>
        <v>3380.672</v>
      </c>
      <c r="J27" s="187">
        <f t="shared" si="10"/>
        <v>583.174</v>
      </c>
      <c r="K27" s="187">
        <f t="shared" si="10"/>
        <v>1031.9170000000001</v>
      </c>
      <c r="L27" s="188">
        <f t="shared" si="5"/>
        <v>57774.929000000004</v>
      </c>
      <c r="M27" s="212">
        <f t="shared" si="8"/>
        <v>57774.929000000004</v>
      </c>
    </row>
    <row r="28" spans="1:13" ht="13.5" thickBot="1">
      <c r="A28" s="564" t="s">
        <v>402</v>
      </c>
      <c r="B28" s="187">
        <f t="shared" si="3"/>
        <v>167006.53</v>
      </c>
      <c r="C28" s="187">
        <f aca="true" t="shared" si="11" ref="C28:K28">C15*101%</f>
        <v>128843.478</v>
      </c>
      <c r="D28" s="187">
        <f t="shared" si="11"/>
        <v>22225.454</v>
      </c>
      <c r="E28" s="187"/>
      <c r="F28" s="187"/>
      <c r="G28" s="187"/>
      <c r="H28" s="187">
        <f t="shared" si="11"/>
        <v>1727.1</v>
      </c>
      <c r="I28" s="187">
        <f t="shared" si="11"/>
        <v>444.4</v>
      </c>
      <c r="J28" s="187">
        <f t="shared" si="11"/>
        <v>84.43599999999999</v>
      </c>
      <c r="K28" s="187">
        <f t="shared" si="11"/>
        <v>90.9</v>
      </c>
      <c r="L28" s="188">
        <f t="shared" si="5"/>
        <v>168824.53</v>
      </c>
      <c r="M28" s="212">
        <f t="shared" si="8"/>
        <v>168824.53</v>
      </c>
    </row>
    <row r="29" spans="1:13" ht="13.5" thickBot="1">
      <c r="A29" s="566"/>
      <c r="B29" s="25"/>
      <c r="C29" s="161"/>
      <c r="D29" s="26"/>
      <c r="E29" s="161"/>
      <c r="F29" s="25"/>
      <c r="G29" s="25"/>
      <c r="H29" s="22"/>
      <c r="I29" s="25"/>
      <c r="J29" s="25"/>
      <c r="K29" s="26"/>
      <c r="L29" s="188">
        <f>H29+G29+E29+B29</f>
        <v>0</v>
      </c>
      <c r="M29" s="212">
        <f t="shared" si="8"/>
        <v>0</v>
      </c>
    </row>
    <row r="30" spans="1:13" ht="13.5" thickBot="1">
      <c r="A30" s="4" t="s">
        <v>113</v>
      </c>
      <c r="B30" s="7">
        <f>B23+B24+B26+B27+B28+B25</f>
        <v>23844504.503</v>
      </c>
      <c r="C30" s="7">
        <f aca="true" t="shared" si="12" ref="C30:L30">C23+C24+C26+C27+C28+C25</f>
        <v>18316732.992</v>
      </c>
      <c r="D30" s="7">
        <f t="shared" si="12"/>
        <v>3168340.0029999996</v>
      </c>
      <c r="E30" s="7">
        <f t="shared" si="12"/>
        <v>399859</v>
      </c>
      <c r="F30" s="7">
        <f t="shared" si="12"/>
        <v>1584810.7</v>
      </c>
      <c r="G30" s="7">
        <f t="shared" si="12"/>
        <v>25500</v>
      </c>
      <c r="H30" s="7">
        <f t="shared" si="12"/>
        <v>4380794.2</v>
      </c>
      <c r="I30" s="7">
        <f t="shared" si="12"/>
        <v>256015.709</v>
      </c>
      <c r="J30" s="7">
        <f t="shared" si="12"/>
        <v>44304.357</v>
      </c>
      <c r="K30" s="7">
        <f t="shared" si="12"/>
        <v>36702.996</v>
      </c>
      <c r="L30" s="7">
        <f t="shared" si="12"/>
        <v>30272171.399</v>
      </c>
      <c r="M30" s="212">
        <f t="shared" si="8"/>
        <v>28661860.699</v>
      </c>
    </row>
    <row r="32" spans="1:12" ht="15.75" thickBot="1">
      <c r="A32" s="899" t="s">
        <v>447</v>
      </c>
      <c r="B32" s="899"/>
      <c r="C32" s="899"/>
      <c r="D32" s="899"/>
      <c r="E32" s="899"/>
      <c r="F32" s="899"/>
      <c r="G32" s="20"/>
      <c r="H32" s="20"/>
      <c r="I32" s="20"/>
      <c r="J32" s="20"/>
      <c r="L32" s="21" t="s">
        <v>115</v>
      </c>
    </row>
    <row r="33" spans="1:12" ht="27" customHeight="1" thickBot="1">
      <c r="A33" s="900" t="s">
        <v>111</v>
      </c>
      <c r="B33" s="882" t="s">
        <v>119</v>
      </c>
      <c r="C33" s="902"/>
      <c r="D33" s="902"/>
      <c r="E33" s="902"/>
      <c r="F33" s="900" t="s">
        <v>120</v>
      </c>
      <c r="G33" s="900" t="s">
        <v>121</v>
      </c>
      <c r="H33" s="890" t="s">
        <v>122</v>
      </c>
      <c r="I33" s="888"/>
      <c r="J33" s="888"/>
      <c r="K33" s="11"/>
      <c r="L33" s="879" t="s">
        <v>124</v>
      </c>
    </row>
    <row r="34" spans="1:12" ht="13.5" customHeight="1" thickBot="1">
      <c r="A34" s="901"/>
      <c r="B34" s="6"/>
      <c r="C34" s="903" t="s">
        <v>117</v>
      </c>
      <c r="D34" s="904"/>
      <c r="E34" s="882" t="s">
        <v>123</v>
      </c>
      <c r="F34" s="901"/>
      <c r="G34" s="901"/>
      <c r="H34" s="882" t="s">
        <v>112</v>
      </c>
      <c r="I34" s="888" t="s">
        <v>117</v>
      </c>
      <c r="J34" s="889"/>
      <c r="K34" s="882" t="s">
        <v>123</v>
      </c>
      <c r="L34" s="880"/>
    </row>
    <row r="35" spans="1:12" ht="26.25" thickBot="1">
      <c r="A35" s="891"/>
      <c r="B35" s="5" t="s">
        <v>112</v>
      </c>
      <c r="C35" s="156" t="s">
        <v>116</v>
      </c>
      <c r="D35" s="157" t="s">
        <v>118</v>
      </c>
      <c r="E35" s="883"/>
      <c r="F35" s="891"/>
      <c r="G35" s="891"/>
      <c r="H35" s="891"/>
      <c r="I35" s="8" t="s">
        <v>116</v>
      </c>
      <c r="J35" s="9" t="s">
        <v>118</v>
      </c>
      <c r="K35" s="883"/>
      <c r="L35" s="881"/>
    </row>
    <row r="36" spans="1:13" ht="26.25" thickBot="1">
      <c r="A36" s="563" t="s">
        <v>102</v>
      </c>
      <c r="B36" s="187">
        <f>B23*101%</f>
        <v>355900.34277</v>
      </c>
      <c r="C36" s="187">
        <f>C23*101%</f>
        <v>196557.15242000003</v>
      </c>
      <c r="D36" s="187">
        <f>D23*101%</f>
        <v>33190.27963</v>
      </c>
      <c r="E36" s="187">
        <f>E23*101%</f>
        <v>403857.59</v>
      </c>
      <c r="F36" s="187"/>
      <c r="G36" s="187"/>
      <c r="H36" s="187">
        <f aca="true" t="shared" si="13" ref="H36:K41">H23*101%</f>
        <v>1998.7839400000003</v>
      </c>
      <c r="I36" s="187">
        <f t="shared" si="13"/>
        <v>1020.1</v>
      </c>
      <c r="J36" s="187">
        <f t="shared" si="13"/>
        <v>175.96725</v>
      </c>
      <c r="K36" s="187">
        <f t="shared" si="13"/>
        <v>306.03000000000003</v>
      </c>
      <c r="L36" s="188">
        <f aca="true" t="shared" si="14" ref="L36:L41">K36+H36+G36+F36+E36+B36</f>
        <v>762062.7467100001</v>
      </c>
      <c r="M36" s="212">
        <f>L36-F36-G36</f>
        <v>762062.7467100001</v>
      </c>
    </row>
    <row r="37" spans="1:13" ht="26.25" thickBot="1">
      <c r="A37" s="564" t="s">
        <v>398</v>
      </c>
      <c r="B37" s="187">
        <f aca="true" t="shared" si="15" ref="B37:D41">B24*101%</f>
        <v>21614287.14603</v>
      </c>
      <c r="C37" s="187">
        <f t="shared" si="15"/>
        <v>17323926.185639996</v>
      </c>
      <c r="D37" s="187">
        <f t="shared" si="15"/>
        <v>2988381.4198499997</v>
      </c>
      <c r="E37" s="187"/>
      <c r="F37" s="187">
        <v>948750</v>
      </c>
      <c r="G37" s="187">
        <v>11385</v>
      </c>
      <c r="H37" s="187">
        <f t="shared" si="13"/>
        <v>131383.98352</v>
      </c>
      <c r="I37" s="187">
        <f t="shared" si="13"/>
        <v>57764.48863</v>
      </c>
      <c r="J37" s="187">
        <f t="shared" si="13"/>
        <v>10097.153820000001</v>
      </c>
      <c r="K37" s="187">
        <f t="shared" si="13"/>
        <v>11723.90729</v>
      </c>
      <c r="L37" s="440">
        <f t="shared" si="14"/>
        <v>22717530.036840003</v>
      </c>
      <c r="M37" s="212">
        <f>L37-F37-G37</f>
        <v>21757395.036840003</v>
      </c>
    </row>
    <row r="38" spans="1:13" ht="26.25" thickBot="1">
      <c r="A38" s="565" t="s">
        <v>399</v>
      </c>
      <c r="B38" s="187">
        <f t="shared" si="15"/>
        <v>1315085.8873500002</v>
      </c>
      <c r="C38" s="187">
        <f t="shared" si="15"/>
        <v>812044.79043</v>
      </c>
      <c r="D38" s="187">
        <f t="shared" si="15"/>
        <v>149580.01727</v>
      </c>
      <c r="E38" s="187"/>
      <c r="F38" s="187"/>
      <c r="G38" s="187"/>
      <c r="H38" s="187">
        <f t="shared" si="13"/>
        <v>344700.9709</v>
      </c>
      <c r="I38" s="187">
        <f t="shared" si="13"/>
        <v>195927.95474</v>
      </c>
      <c r="J38" s="187">
        <f t="shared" si="13"/>
        <v>33799.99340000001</v>
      </c>
      <c r="K38" s="187">
        <f t="shared" si="13"/>
        <v>23906.0435</v>
      </c>
      <c r="L38" s="440">
        <f t="shared" si="14"/>
        <v>1683692.9017500002</v>
      </c>
      <c r="M38" s="212">
        <f aca="true" t="shared" si="16" ref="M38:M43">L38-F38-G38</f>
        <v>1683692.9017500002</v>
      </c>
    </row>
    <row r="39" spans="1:13" ht="26.25" thickBot="1">
      <c r="A39" s="564" t="s">
        <v>400</v>
      </c>
      <c r="B39" s="187">
        <f t="shared" si="15"/>
        <v>579795.2570999999</v>
      </c>
      <c r="C39" s="187">
        <f t="shared" si="15"/>
        <v>0</v>
      </c>
      <c r="D39" s="187">
        <f t="shared" si="15"/>
        <v>0</v>
      </c>
      <c r="E39" s="187"/>
      <c r="F39" s="187"/>
      <c r="G39" s="187"/>
      <c r="H39" s="187">
        <f t="shared" si="13"/>
        <v>3936667.91</v>
      </c>
      <c r="I39" s="187">
        <f t="shared" si="13"/>
        <v>0</v>
      </c>
      <c r="J39" s="187">
        <f t="shared" si="13"/>
        <v>0</v>
      </c>
      <c r="K39" s="187">
        <f t="shared" si="13"/>
        <v>0</v>
      </c>
      <c r="L39" s="188">
        <f t="shared" si="14"/>
        <v>4516463.1671</v>
      </c>
      <c r="M39" s="212">
        <f t="shared" si="16"/>
        <v>4516463.1671</v>
      </c>
    </row>
    <row r="40" spans="1:13" ht="13.5" thickBot="1">
      <c r="A40" s="564" t="s">
        <v>401</v>
      </c>
      <c r="B40" s="187">
        <f t="shared" si="15"/>
        <v>49204.31948</v>
      </c>
      <c r="C40" s="187">
        <f t="shared" si="15"/>
        <v>37240.28065</v>
      </c>
      <c r="D40" s="187">
        <f t="shared" si="15"/>
        <v>6423.97774</v>
      </c>
      <c r="E40" s="187"/>
      <c r="F40" s="187"/>
      <c r="G40" s="187"/>
      <c r="H40" s="187">
        <f t="shared" si="13"/>
        <v>8106.12264</v>
      </c>
      <c r="I40" s="187">
        <f t="shared" si="13"/>
        <v>3414.47872</v>
      </c>
      <c r="J40" s="187">
        <f t="shared" si="13"/>
        <v>589.00574</v>
      </c>
      <c r="K40" s="187">
        <f t="shared" si="13"/>
        <v>1042.2361700000001</v>
      </c>
      <c r="L40" s="188">
        <f t="shared" si="14"/>
        <v>58352.678289999996</v>
      </c>
      <c r="M40" s="212">
        <f t="shared" si="16"/>
        <v>58352.678289999996</v>
      </c>
    </row>
    <row r="41" spans="1:13" ht="13.5" thickBot="1">
      <c r="A41" s="564" t="s">
        <v>402</v>
      </c>
      <c r="B41" s="187">
        <f t="shared" si="15"/>
        <v>168676.5953</v>
      </c>
      <c r="C41" s="187">
        <f t="shared" si="15"/>
        <v>130131.91278</v>
      </c>
      <c r="D41" s="187">
        <f t="shared" si="15"/>
        <v>22447.708540000003</v>
      </c>
      <c r="E41" s="187"/>
      <c r="F41" s="187"/>
      <c r="G41" s="187"/>
      <c r="H41" s="187">
        <f t="shared" si="13"/>
        <v>1744.3709999999999</v>
      </c>
      <c r="I41" s="187">
        <f t="shared" si="13"/>
        <v>448.844</v>
      </c>
      <c r="J41" s="187">
        <f t="shared" si="13"/>
        <v>85.28035999999999</v>
      </c>
      <c r="K41" s="187">
        <f t="shared" si="13"/>
        <v>91.80900000000001</v>
      </c>
      <c r="L41" s="188">
        <f t="shared" si="14"/>
        <v>170512.77529999998</v>
      </c>
      <c r="M41" s="212">
        <f t="shared" si="16"/>
        <v>170512.77529999998</v>
      </c>
    </row>
    <row r="42" spans="1:13" ht="13.5" thickBot="1">
      <c r="A42" s="566"/>
      <c r="B42" s="25"/>
      <c r="C42" s="161"/>
      <c r="D42" s="26"/>
      <c r="E42" s="161"/>
      <c r="F42" s="25"/>
      <c r="G42" s="25"/>
      <c r="H42" s="22"/>
      <c r="I42" s="25"/>
      <c r="J42" s="25"/>
      <c r="K42" s="26"/>
      <c r="L42" s="188">
        <f>H42+G42+E42+B42</f>
        <v>0</v>
      </c>
      <c r="M42" s="212">
        <f t="shared" si="16"/>
        <v>0</v>
      </c>
    </row>
    <row r="43" spans="1:13" ht="13.5" thickBot="1">
      <c r="A43" s="4" t="s">
        <v>113</v>
      </c>
      <c r="B43" s="7">
        <f>B36+B37+B39+B40+B41+B38</f>
        <v>24082949.54803</v>
      </c>
      <c r="C43" s="7">
        <f aca="true" t="shared" si="17" ref="C43:L43">C36+C37+C39+C40+C41+C38</f>
        <v>18499900.32192</v>
      </c>
      <c r="D43" s="7">
        <f t="shared" si="17"/>
        <v>3200023.4030299997</v>
      </c>
      <c r="E43" s="7">
        <f t="shared" si="17"/>
        <v>403857.59</v>
      </c>
      <c r="F43" s="7">
        <f t="shared" si="17"/>
        <v>948750</v>
      </c>
      <c r="G43" s="7">
        <f t="shared" si="17"/>
        <v>11385</v>
      </c>
      <c r="H43" s="7">
        <f t="shared" si="17"/>
        <v>4424602.142</v>
      </c>
      <c r="I43" s="7">
        <f t="shared" si="17"/>
        <v>258575.86608999997</v>
      </c>
      <c r="J43" s="7">
        <f t="shared" si="17"/>
        <v>44747.40057000001</v>
      </c>
      <c r="K43" s="7">
        <f t="shared" si="17"/>
        <v>37070.02596</v>
      </c>
      <c r="L43" s="7">
        <f t="shared" si="17"/>
        <v>29908614.305990003</v>
      </c>
      <c r="M43" s="212">
        <f t="shared" si="16"/>
        <v>28948479.305990003</v>
      </c>
    </row>
    <row r="45" spans="1:12" ht="15">
      <c r="A45" s="899"/>
      <c r="B45" s="899"/>
      <c r="C45" s="899"/>
      <c r="D45" s="899"/>
      <c r="E45" s="899"/>
      <c r="F45" s="899"/>
      <c r="G45" s="20"/>
      <c r="H45" s="20"/>
      <c r="I45" s="20"/>
      <c r="J45" s="20"/>
      <c r="L45" s="21"/>
    </row>
  </sheetData>
  <sheetProtection/>
  <mergeCells count="38">
    <mergeCell ref="A19:F19"/>
    <mergeCell ref="F20:F22"/>
    <mergeCell ref="L33:L35"/>
    <mergeCell ref="E34:E35"/>
    <mergeCell ref="H34:H35"/>
    <mergeCell ref="K34:K35"/>
    <mergeCell ref="H33:J33"/>
    <mergeCell ref="I34:J34"/>
    <mergeCell ref="G33:G35"/>
    <mergeCell ref="G20:G22"/>
    <mergeCell ref="A45:F45"/>
    <mergeCell ref="E21:E22"/>
    <mergeCell ref="A33:A35"/>
    <mergeCell ref="B33:E33"/>
    <mergeCell ref="F33:F35"/>
    <mergeCell ref="A32:F32"/>
    <mergeCell ref="A20:A22"/>
    <mergeCell ref="B20:E20"/>
    <mergeCell ref="C21:D21"/>
    <mergeCell ref="C34:D34"/>
    <mergeCell ref="A4:J4"/>
    <mergeCell ref="A6:F6"/>
    <mergeCell ref="A7:A9"/>
    <mergeCell ref="B7:E7"/>
    <mergeCell ref="F7:F9"/>
    <mergeCell ref="G7:G9"/>
    <mergeCell ref="C8:D8"/>
    <mergeCell ref="E8:E9"/>
    <mergeCell ref="L7:L9"/>
    <mergeCell ref="I8:J8"/>
    <mergeCell ref="L20:L22"/>
    <mergeCell ref="K21:K22"/>
    <mergeCell ref="K8:K9"/>
    <mergeCell ref="H7:J7"/>
    <mergeCell ref="H8:H9"/>
    <mergeCell ref="I21:J21"/>
    <mergeCell ref="H20:J20"/>
    <mergeCell ref="H21:H22"/>
  </mergeCells>
  <printOptions/>
  <pageMargins left="0.7086614173228347" right="0.31496062992125984" top="0.35433070866141736" bottom="0.35433070866141736" header="0.31496062992125984" footer="0.11811023622047245"/>
  <pageSetup fitToHeight="0" horizontalDpi="600" verticalDpi="600" orientation="landscape" paperSize="9" scale="65" r:id="rId3"/>
  <rowBreaks count="1" manualBreakCount="1">
    <brk id="31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8515625" style="3" customWidth="1"/>
    <col min="2" max="2" width="47.00390625" style="0" customWidth="1"/>
    <col min="3" max="3" width="14.28125" style="0" bestFit="1" customWidth="1"/>
    <col min="4" max="4" width="13.421875" style="0" bestFit="1" customWidth="1"/>
    <col min="5" max="5" width="12.28125" style="0" bestFit="1" customWidth="1"/>
    <col min="6" max="6" width="12.140625" style="0" customWidth="1"/>
    <col min="7" max="7" width="11.57421875" style="0" customWidth="1"/>
    <col min="8" max="8" width="14.28125" style="190" customWidth="1"/>
    <col min="9" max="9" width="13.8515625" style="0" customWidth="1"/>
    <col min="10" max="10" width="11.00390625" style="0" customWidth="1"/>
    <col min="11" max="11" width="12.57421875" style="0" customWidth="1"/>
    <col min="12" max="13" width="11.8515625" style="0" customWidth="1"/>
    <col min="14" max="14" width="12.28125" style="0" customWidth="1"/>
    <col min="15" max="15" width="13.421875" style="0" bestFit="1" customWidth="1"/>
    <col min="16" max="17" width="12.28125" style="0" bestFit="1" customWidth="1"/>
    <col min="18" max="19" width="11.28125" style="0" bestFit="1" customWidth="1"/>
    <col min="20" max="20" width="10.140625" style="0" bestFit="1" customWidth="1"/>
    <col min="21" max="21" width="9.28125" style="0" bestFit="1" customWidth="1"/>
    <col min="22" max="22" width="10.421875" style="0" bestFit="1" customWidth="1"/>
    <col min="23" max="25" width="9.421875" style="0" bestFit="1" customWidth="1"/>
    <col min="26" max="26" width="10.421875" style="0" bestFit="1" customWidth="1"/>
  </cols>
  <sheetData>
    <row r="1" spans="15:17" ht="12.75">
      <c r="O1" s="191" t="s">
        <v>53</v>
      </c>
      <c r="P1" s="191"/>
      <c r="Q1" s="191"/>
    </row>
    <row r="2" spans="2:6" ht="18" customHeight="1" hidden="1">
      <c r="B2" s="192"/>
      <c r="C2" s="10"/>
      <c r="D2" s="10"/>
      <c r="E2" s="10"/>
      <c r="F2" s="10"/>
    </row>
    <row r="3" spans="2:15" ht="59.25" customHeight="1">
      <c r="B3" s="905" t="s">
        <v>54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</row>
    <row r="4" spans="2:15" ht="15.75" thickBot="1">
      <c r="B4" s="906"/>
      <c r="C4" s="906"/>
      <c r="D4" s="906"/>
      <c r="E4" s="906"/>
      <c r="F4" s="906"/>
      <c r="G4" s="906"/>
      <c r="H4" s="906"/>
      <c r="I4" s="193"/>
      <c r="J4" s="193"/>
      <c r="K4" s="193"/>
      <c r="L4" s="193"/>
      <c r="M4" s="193"/>
      <c r="O4" s="194" t="s">
        <v>115</v>
      </c>
    </row>
    <row r="5" spans="1:15" ht="13.5" customHeight="1" thickBot="1">
      <c r="A5" s="195"/>
      <c r="B5" s="907" t="s">
        <v>55</v>
      </c>
      <c r="C5" s="910" t="s">
        <v>119</v>
      </c>
      <c r="D5" s="911"/>
      <c r="E5" s="911"/>
      <c r="F5" s="911"/>
      <c r="G5" s="912"/>
      <c r="H5" s="913" t="s">
        <v>120</v>
      </c>
      <c r="I5" s="916" t="s">
        <v>121</v>
      </c>
      <c r="J5" s="910" t="s">
        <v>122</v>
      </c>
      <c r="K5" s="911"/>
      <c r="L5" s="911"/>
      <c r="M5" s="911"/>
      <c r="N5" s="912"/>
      <c r="O5" s="919" t="s">
        <v>124</v>
      </c>
    </row>
    <row r="6" spans="1:15" ht="20.25" customHeight="1" thickBot="1">
      <c r="A6" s="923" t="s">
        <v>56</v>
      </c>
      <c r="B6" s="908"/>
      <c r="C6" s="196"/>
      <c r="D6" s="910" t="s">
        <v>57</v>
      </c>
      <c r="E6" s="911"/>
      <c r="F6" s="912"/>
      <c r="G6" s="925" t="s">
        <v>58</v>
      </c>
      <c r="H6" s="914"/>
      <c r="I6" s="917"/>
      <c r="J6" s="916" t="s">
        <v>112</v>
      </c>
      <c r="K6" s="910" t="s">
        <v>57</v>
      </c>
      <c r="L6" s="911"/>
      <c r="M6" s="922"/>
      <c r="N6" s="925" t="s">
        <v>58</v>
      </c>
      <c r="O6" s="920"/>
    </row>
    <row r="7" spans="1:15" ht="43.5" customHeight="1">
      <c r="A7" s="924"/>
      <c r="B7" s="909"/>
      <c r="C7" s="197" t="s">
        <v>112</v>
      </c>
      <c r="D7" s="198" t="s">
        <v>116</v>
      </c>
      <c r="E7" s="199" t="s">
        <v>118</v>
      </c>
      <c r="F7" s="200" t="s">
        <v>59</v>
      </c>
      <c r="G7" s="926"/>
      <c r="H7" s="915"/>
      <c r="I7" s="918"/>
      <c r="J7" s="918"/>
      <c r="K7" s="201" t="s">
        <v>116</v>
      </c>
      <c r="L7" s="202" t="s">
        <v>118</v>
      </c>
      <c r="M7" s="203" t="s">
        <v>59</v>
      </c>
      <c r="N7" s="926"/>
      <c r="O7" s="921"/>
    </row>
    <row r="8" spans="1:18" ht="12.75">
      <c r="A8" s="204">
        <v>13</v>
      </c>
      <c r="B8" s="205" t="s">
        <v>60</v>
      </c>
      <c r="C8" s="206">
        <f>SUM(D8:F8)</f>
        <v>13864130</v>
      </c>
      <c r="D8" s="207">
        <v>10792141.8</v>
      </c>
      <c r="E8" s="207">
        <v>1862313.6</v>
      </c>
      <c r="F8" s="207">
        <v>1209674.6</v>
      </c>
      <c r="G8" s="207">
        <v>175568.1</v>
      </c>
      <c r="H8" s="208">
        <v>1166300</v>
      </c>
      <c r="I8" s="208">
        <v>10200</v>
      </c>
      <c r="J8" s="206">
        <f>SUM(K8:M8)</f>
        <v>1625788.6</v>
      </c>
      <c r="K8" s="207">
        <v>1165630.8</v>
      </c>
      <c r="L8" s="207">
        <v>201079.2</v>
      </c>
      <c r="M8" s="207">
        <v>259078.6</v>
      </c>
      <c r="N8" s="207">
        <v>286469.2</v>
      </c>
      <c r="O8" s="206">
        <f>C8+G8+H8+I8+J8+N8</f>
        <v>17128455.9</v>
      </c>
      <c r="Q8" s="209"/>
      <c r="R8" s="209"/>
    </row>
    <row r="9" spans="2:15" ht="27" customHeight="1">
      <c r="B9" s="210" t="s">
        <v>61</v>
      </c>
      <c r="C9" s="3"/>
      <c r="D9" s="3"/>
      <c r="E9" s="3"/>
      <c r="F9" s="3"/>
      <c r="G9" s="3"/>
      <c r="H9" s="211"/>
      <c r="I9" s="3"/>
      <c r="J9" s="3"/>
      <c r="K9" s="3"/>
      <c r="L9" s="3"/>
      <c r="M9" s="3"/>
      <c r="N9" s="3"/>
      <c r="O9" s="3"/>
    </row>
    <row r="10" ht="12.75">
      <c r="E10" s="212"/>
    </row>
    <row r="11" ht="12.75">
      <c r="F11" s="212"/>
    </row>
  </sheetData>
  <sheetProtection/>
  <mergeCells count="14">
    <mergeCell ref="A6:A7"/>
    <mergeCell ref="D6:F6"/>
    <mergeCell ref="G6:G7"/>
    <mergeCell ref="J6:J7"/>
    <mergeCell ref="N6:N7"/>
    <mergeCell ref="B3:O3"/>
    <mergeCell ref="B4:H4"/>
    <mergeCell ref="B5:B7"/>
    <mergeCell ref="C5:G5"/>
    <mergeCell ref="H5:H7"/>
    <mergeCell ref="I5:I7"/>
    <mergeCell ref="J5:N5"/>
    <mergeCell ref="O5:O7"/>
    <mergeCell ref="K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9"/>
  <sheetViews>
    <sheetView zoomScalePageLayoutView="0" workbookViewId="0" topLeftCell="A586">
      <selection activeCell="D584" sqref="D584"/>
    </sheetView>
  </sheetViews>
  <sheetFormatPr defaultColWidth="9.140625" defaultRowHeight="12.75" outlineLevelRow="1"/>
  <cols>
    <col min="1" max="1" width="18.00390625" style="30" customWidth="1"/>
    <col min="2" max="2" width="10.00390625" style="46" customWidth="1"/>
    <col min="3" max="3" width="10.57421875" style="46" customWidth="1"/>
    <col min="4" max="4" width="9.00390625" style="46" customWidth="1"/>
    <col min="5" max="5" width="8.28125" style="46" customWidth="1"/>
    <col min="6" max="6" width="9.28125" style="46" customWidth="1"/>
    <col min="7" max="7" width="8.140625" style="46" customWidth="1"/>
    <col min="8" max="9" width="9.00390625" style="46" customWidth="1"/>
    <col min="10" max="10" width="7.8515625" style="46" customWidth="1"/>
    <col min="11" max="11" width="8.140625" style="46" customWidth="1"/>
    <col min="12" max="12" width="10.140625" style="46" customWidth="1"/>
    <col min="13" max="13" width="11.28125" style="30" bestFit="1" customWidth="1"/>
    <col min="14" max="14" width="11.57421875" style="30" customWidth="1"/>
    <col min="15" max="15" width="10.140625" style="30" customWidth="1"/>
    <col min="16" max="17" width="9.140625" style="30" customWidth="1"/>
    <col min="18" max="18" width="11.28125" style="30" bestFit="1" customWidth="1"/>
    <col min="19" max="16384" width="9.140625" style="30" customWidth="1"/>
  </cols>
  <sheetData>
    <row r="1" spans="12:14" ht="12">
      <c r="L1" s="55" t="s">
        <v>137</v>
      </c>
      <c r="M1" s="31"/>
      <c r="N1" s="31"/>
    </row>
    <row r="2" spans="12:14" ht="12.75" thickBot="1">
      <c r="L2" s="55"/>
      <c r="M2" s="31"/>
      <c r="N2" s="31"/>
    </row>
    <row r="3" spans="1:12" ht="24" customHeight="1" thickBot="1">
      <c r="A3" s="33" t="s">
        <v>126</v>
      </c>
      <c r="B3" s="959" t="s">
        <v>242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</row>
    <row r="4" spans="1:12" ht="20.25" customHeight="1" thickBot="1">
      <c r="A4" s="34" t="s">
        <v>127</v>
      </c>
      <c r="B4" s="949" t="s">
        <v>26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</row>
    <row r="5" spans="1:12" ht="28.5" customHeight="1" thickBot="1">
      <c r="A5" s="35" t="s">
        <v>128</v>
      </c>
      <c r="B5" s="949" t="s">
        <v>379</v>
      </c>
      <c r="C5" s="950"/>
      <c r="D5" s="950"/>
      <c r="E5" s="950"/>
      <c r="F5" s="950"/>
      <c r="G5" s="950"/>
      <c r="H5" s="950"/>
      <c r="I5" s="950"/>
      <c r="J5" s="950"/>
      <c r="K5" s="950"/>
      <c r="L5" s="950"/>
    </row>
    <row r="6" spans="1:12" ht="29.25" customHeight="1" thickBot="1">
      <c r="A6" s="36" t="s">
        <v>104</v>
      </c>
      <c r="B6" s="958" t="s">
        <v>380</v>
      </c>
      <c r="C6" s="958"/>
      <c r="D6" s="958"/>
      <c r="E6" s="958"/>
      <c r="F6" s="958"/>
      <c r="G6" s="958"/>
      <c r="H6" s="958"/>
      <c r="I6" s="958"/>
      <c r="J6" s="958"/>
      <c r="K6" s="958"/>
      <c r="L6" s="959"/>
    </row>
    <row r="7" spans="1:12" s="37" customFormat="1" ht="45.75" customHeight="1" thickBot="1">
      <c r="A7" s="34" t="s">
        <v>130</v>
      </c>
      <c r="B7" s="47"/>
      <c r="C7" s="960" t="s">
        <v>131</v>
      </c>
      <c r="D7" s="961"/>
      <c r="E7" s="47" t="s">
        <v>243</v>
      </c>
      <c r="F7" s="962" t="s">
        <v>132</v>
      </c>
      <c r="G7" s="952"/>
      <c r="H7" s="952"/>
      <c r="I7" s="963"/>
      <c r="J7" s="967" t="s">
        <v>133</v>
      </c>
      <c r="K7" s="967"/>
      <c r="L7" s="967"/>
    </row>
    <row r="8" spans="1:12" ht="65.25" customHeight="1" thickBot="1">
      <c r="A8" s="34" t="s">
        <v>134</v>
      </c>
      <c r="B8" s="968" t="s">
        <v>27</v>
      </c>
      <c r="C8" s="969"/>
      <c r="D8" s="969"/>
      <c r="E8" s="969"/>
      <c r="F8" s="969"/>
      <c r="G8" s="969"/>
      <c r="H8" s="969"/>
      <c r="I8" s="969"/>
      <c r="J8" s="969"/>
      <c r="K8" s="969"/>
      <c r="L8" s="969"/>
    </row>
    <row r="9" spans="1:12" ht="51" customHeight="1" thickBot="1">
      <c r="A9" s="34" t="s">
        <v>129</v>
      </c>
      <c r="B9" s="970" t="s">
        <v>426</v>
      </c>
      <c r="C9" s="971"/>
      <c r="D9" s="971"/>
      <c r="E9" s="971"/>
      <c r="F9" s="971"/>
      <c r="G9" s="971"/>
      <c r="H9" s="971"/>
      <c r="I9" s="971"/>
      <c r="J9" s="971"/>
      <c r="K9" s="971"/>
      <c r="L9" s="971"/>
    </row>
    <row r="10" ht="20.25" customHeight="1"/>
    <row r="11" ht="20.25" customHeight="1">
      <c r="A11" s="38" t="s">
        <v>125</v>
      </c>
    </row>
    <row r="12" spans="1:12" ht="36" customHeight="1" thickBot="1">
      <c r="A12" s="949" t="s">
        <v>381</v>
      </c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57" t="s">
        <v>138</v>
      </c>
    </row>
    <row r="13" spans="1:12" ht="13.5" customHeight="1" thickBot="1">
      <c r="A13" s="927" t="s">
        <v>29</v>
      </c>
      <c r="B13" s="964" t="s">
        <v>119</v>
      </c>
      <c r="C13" s="965"/>
      <c r="D13" s="965"/>
      <c r="E13" s="965"/>
      <c r="F13" s="939" t="s">
        <v>120</v>
      </c>
      <c r="G13" s="939" t="s">
        <v>121</v>
      </c>
      <c r="H13" s="942" t="s">
        <v>122</v>
      </c>
      <c r="I13" s="943"/>
      <c r="J13" s="943"/>
      <c r="K13" s="943"/>
      <c r="L13" s="945" t="s">
        <v>124</v>
      </c>
    </row>
    <row r="14" spans="1:12" ht="13.5" customHeight="1" thickBot="1">
      <c r="A14" s="928"/>
      <c r="B14" s="48"/>
      <c r="C14" s="947" t="s">
        <v>117</v>
      </c>
      <c r="D14" s="948"/>
      <c r="E14" s="930" t="s">
        <v>123</v>
      </c>
      <c r="F14" s="940"/>
      <c r="G14" s="940"/>
      <c r="H14" s="930" t="s">
        <v>112</v>
      </c>
      <c r="I14" s="947" t="s">
        <v>117</v>
      </c>
      <c r="J14" s="948"/>
      <c r="K14" s="930" t="s">
        <v>123</v>
      </c>
      <c r="L14" s="946"/>
    </row>
    <row r="15" spans="1:12" ht="43.5" customHeight="1" thickBot="1">
      <c r="A15" s="929"/>
      <c r="B15" s="49" t="s">
        <v>112</v>
      </c>
      <c r="C15" s="50" t="s">
        <v>116</v>
      </c>
      <c r="D15" s="51" t="s">
        <v>118</v>
      </c>
      <c r="E15" s="936"/>
      <c r="F15" s="941"/>
      <c r="G15" s="941"/>
      <c r="H15" s="941"/>
      <c r="I15" s="50" t="s">
        <v>116</v>
      </c>
      <c r="J15" s="51" t="s">
        <v>118</v>
      </c>
      <c r="K15" s="936"/>
      <c r="L15" s="946"/>
    </row>
    <row r="16" spans="1:15" ht="20.25" customHeight="1" thickBot="1">
      <c r="A16" s="39">
        <v>2017</v>
      </c>
      <c r="B16" s="615">
        <v>74964.2</v>
      </c>
      <c r="C16" s="615">
        <v>40247.2</v>
      </c>
      <c r="D16" s="615">
        <v>6240.9</v>
      </c>
      <c r="E16" s="615">
        <v>500</v>
      </c>
      <c r="F16" s="615"/>
      <c r="G16" s="615"/>
      <c r="H16" s="615"/>
      <c r="I16" s="615"/>
      <c r="J16" s="615"/>
      <c r="K16" s="616"/>
      <c r="L16" s="617">
        <f>B16+E16+H16+K16</f>
        <v>75464.2</v>
      </c>
      <c r="N16" s="189"/>
      <c r="O16" s="189"/>
    </row>
    <row r="17" spans="1:12" ht="21.75" customHeight="1" thickBot="1">
      <c r="A17" s="39">
        <v>2018</v>
      </c>
      <c r="B17" s="52">
        <f aca="true" t="shared" si="0" ref="B17:E18">B16*1%+B16</f>
        <v>75713.842</v>
      </c>
      <c r="C17" s="52">
        <f t="shared" si="0"/>
        <v>40649.672</v>
      </c>
      <c r="D17" s="52">
        <f t="shared" si="0"/>
        <v>6303.308999999999</v>
      </c>
      <c r="E17" s="52">
        <f t="shared" si="0"/>
        <v>505</v>
      </c>
      <c r="F17" s="52"/>
      <c r="G17" s="52"/>
      <c r="H17" s="52">
        <f aca="true" t="shared" si="1" ref="H17:K18">H16*1%+H16</f>
        <v>0</v>
      </c>
      <c r="I17" s="52">
        <f t="shared" si="1"/>
        <v>0</v>
      </c>
      <c r="J17" s="52">
        <f t="shared" si="1"/>
        <v>0</v>
      </c>
      <c r="K17" s="52">
        <f t="shared" si="1"/>
        <v>0</v>
      </c>
      <c r="L17" s="59">
        <f>K17+H17+E17+B17</f>
        <v>76218.842</v>
      </c>
    </row>
    <row r="18" spans="1:15" ht="23.25" customHeight="1" thickBot="1">
      <c r="A18" s="40">
        <v>2019</v>
      </c>
      <c r="B18" s="52">
        <f t="shared" si="0"/>
        <v>76470.98042</v>
      </c>
      <c r="C18" s="52">
        <f t="shared" si="0"/>
        <v>41056.16872</v>
      </c>
      <c r="D18" s="52">
        <f t="shared" si="0"/>
        <v>6366.342089999999</v>
      </c>
      <c r="E18" s="52">
        <f t="shared" si="0"/>
        <v>510.05</v>
      </c>
      <c r="F18" s="52"/>
      <c r="G18" s="52"/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59">
        <f>K18+H18+E18+B18</f>
        <v>76981.03042000001</v>
      </c>
      <c r="N18" s="189"/>
      <c r="O18" s="189"/>
    </row>
    <row r="19" ht="12"/>
    <row r="20" ht="12">
      <c r="A20" s="41" t="s">
        <v>135</v>
      </c>
    </row>
    <row r="21" spans="1:11" ht="27.75" customHeight="1" thickBot="1">
      <c r="A21" s="949" t="s">
        <v>381</v>
      </c>
      <c r="B21" s="950"/>
      <c r="C21" s="950"/>
      <c r="D21" s="950"/>
      <c r="E21" s="950"/>
      <c r="F21" s="950"/>
      <c r="G21" s="950"/>
      <c r="H21" s="950"/>
      <c r="I21" s="950"/>
      <c r="J21" s="950"/>
      <c r="K21" s="950"/>
    </row>
    <row r="22" spans="1:10" ht="36.75" customHeight="1" thickBot="1">
      <c r="A22" s="927" t="s">
        <v>103</v>
      </c>
      <c r="B22" s="930" t="s">
        <v>110</v>
      </c>
      <c r="C22" s="931"/>
      <c r="D22" s="932"/>
      <c r="E22" s="939" t="s">
        <v>106</v>
      </c>
      <c r="F22" s="939" t="s">
        <v>108</v>
      </c>
      <c r="G22" s="942" t="s">
        <v>107</v>
      </c>
      <c r="H22" s="943"/>
      <c r="I22" s="943"/>
      <c r="J22" s="944"/>
    </row>
    <row r="23" spans="1:10" ht="13.5" customHeight="1" thickBot="1">
      <c r="A23" s="928"/>
      <c r="B23" s="933"/>
      <c r="C23" s="934"/>
      <c r="D23" s="935"/>
      <c r="E23" s="940"/>
      <c r="F23" s="941"/>
      <c r="G23" s="54"/>
      <c r="H23" s="942" t="s">
        <v>109</v>
      </c>
      <c r="I23" s="943"/>
      <c r="J23" s="944"/>
    </row>
    <row r="24" spans="1:10" ht="12.75" thickBot="1">
      <c r="A24" s="929"/>
      <c r="B24" s="936"/>
      <c r="C24" s="937"/>
      <c r="D24" s="938"/>
      <c r="E24" s="941"/>
      <c r="F24" s="53">
        <v>2016</v>
      </c>
      <c r="G24" s="53">
        <v>2017</v>
      </c>
      <c r="H24" s="53">
        <v>2018</v>
      </c>
      <c r="I24" s="53">
        <v>2019</v>
      </c>
      <c r="J24" s="53">
        <v>2020</v>
      </c>
    </row>
    <row r="25" spans="1:10" ht="84.75" customHeight="1">
      <c r="A25" s="158" t="s">
        <v>45</v>
      </c>
      <c r="B25" s="954"/>
      <c r="C25" s="955"/>
      <c r="D25" s="956"/>
      <c r="E25" s="63" t="s">
        <v>149</v>
      </c>
      <c r="F25" s="603">
        <v>29.8</v>
      </c>
      <c r="G25" s="64"/>
      <c r="H25" s="65">
        <v>0</v>
      </c>
      <c r="I25" s="66">
        <v>0</v>
      </c>
      <c r="J25" s="66">
        <v>0</v>
      </c>
    </row>
    <row r="26" spans="1:10" ht="16.5" customHeight="1">
      <c r="A26" s="43"/>
      <c r="B26" s="951"/>
      <c r="C26" s="952"/>
      <c r="D26" s="953"/>
      <c r="E26" s="67"/>
      <c r="F26" s="68"/>
      <c r="G26" s="68"/>
      <c r="H26" s="69"/>
      <c r="I26" s="70"/>
      <c r="J26" s="70"/>
    </row>
    <row r="27" spans="1:10" ht="15.75" customHeight="1" thickBot="1">
      <c r="A27" s="44"/>
      <c r="B27" s="951"/>
      <c r="C27" s="952"/>
      <c r="D27" s="953"/>
      <c r="E27" s="71"/>
      <c r="F27" s="72"/>
      <c r="G27" s="72"/>
      <c r="H27" s="73"/>
      <c r="I27" s="74"/>
      <c r="J27" s="74"/>
    </row>
    <row r="28" spans="1:10" ht="15.75" customHeight="1">
      <c r="A28" s="577"/>
      <c r="B28" s="486"/>
      <c r="C28" s="486"/>
      <c r="D28" s="486"/>
      <c r="E28" s="487"/>
      <c r="F28" s="488"/>
      <c r="G28" s="488"/>
      <c r="H28" s="489"/>
      <c r="I28" s="490"/>
      <c r="J28" s="490"/>
    </row>
    <row r="29" ht="12" outlineLevel="1">
      <c r="A29" s="41" t="s">
        <v>135</v>
      </c>
    </row>
    <row r="30" spans="1:11" ht="27.75" customHeight="1" outlineLevel="1" thickBot="1">
      <c r="A30" s="949" t="s">
        <v>381</v>
      </c>
      <c r="B30" s="950"/>
      <c r="C30" s="950"/>
      <c r="D30" s="950"/>
      <c r="E30" s="950"/>
      <c r="F30" s="950"/>
      <c r="G30" s="950"/>
      <c r="H30" s="950"/>
      <c r="I30" s="950"/>
      <c r="J30" s="950"/>
      <c r="K30" s="950"/>
    </row>
    <row r="31" spans="1:10" ht="36.75" customHeight="1" outlineLevel="1" thickBot="1">
      <c r="A31" s="927" t="s">
        <v>103</v>
      </c>
      <c r="B31" s="930" t="s">
        <v>110</v>
      </c>
      <c r="C31" s="931"/>
      <c r="D31" s="932"/>
      <c r="E31" s="939" t="s">
        <v>106</v>
      </c>
      <c r="F31" s="939" t="s">
        <v>108</v>
      </c>
      <c r="G31" s="942" t="s">
        <v>107</v>
      </c>
      <c r="H31" s="943"/>
      <c r="I31" s="943"/>
      <c r="J31" s="944"/>
    </row>
    <row r="32" spans="1:10" ht="13.5" customHeight="1" outlineLevel="1" thickBot="1">
      <c r="A32" s="928"/>
      <c r="B32" s="933"/>
      <c r="C32" s="934"/>
      <c r="D32" s="935"/>
      <c r="E32" s="940"/>
      <c r="F32" s="941"/>
      <c r="G32" s="54"/>
      <c r="H32" s="942" t="s">
        <v>109</v>
      </c>
      <c r="I32" s="943"/>
      <c r="J32" s="944"/>
    </row>
    <row r="33" spans="1:10" ht="12.75" outlineLevel="1" thickBot="1">
      <c r="A33" s="929"/>
      <c r="B33" s="936"/>
      <c r="C33" s="937"/>
      <c r="D33" s="938"/>
      <c r="E33" s="941"/>
      <c r="F33" s="53">
        <v>2016</v>
      </c>
      <c r="G33" s="53">
        <v>2017</v>
      </c>
      <c r="H33" s="53">
        <v>2018</v>
      </c>
      <c r="I33" s="53">
        <v>2019</v>
      </c>
      <c r="J33" s="53">
        <v>2020</v>
      </c>
    </row>
    <row r="34" spans="1:10" ht="84.75" customHeight="1" outlineLevel="1">
      <c r="A34" s="42" t="str">
        <f>'Приложение 3'!J14</f>
        <v>Процент исполнения бюджета без нарушений</v>
      </c>
      <c r="B34" s="954"/>
      <c r="C34" s="955"/>
      <c r="D34" s="956"/>
      <c r="E34" s="63" t="s">
        <v>149</v>
      </c>
      <c r="F34" s="64">
        <v>70</v>
      </c>
      <c r="G34" s="64">
        <v>80</v>
      </c>
      <c r="H34" s="65">
        <v>80</v>
      </c>
      <c r="I34" s="66">
        <v>80</v>
      </c>
      <c r="J34" s="66">
        <v>80</v>
      </c>
    </row>
    <row r="35" spans="1:10" ht="16.5" customHeight="1" outlineLevel="1">
      <c r="A35" s="43"/>
      <c r="B35" s="951"/>
      <c r="C35" s="952"/>
      <c r="D35" s="953"/>
      <c r="E35" s="67"/>
      <c r="F35" s="68"/>
      <c r="G35" s="68"/>
      <c r="H35" s="69"/>
      <c r="I35" s="70"/>
      <c r="J35" s="70"/>
    </row>
    <row r="36" spans="1:10" ht="15.75" customHeight="1" outlineLevel="1" thickBot="1">
      <c r="A36" s="44"/>
      <c r="B36" s="951"/>
      <c r="C36" s="952"/>
      <c r="D36" s="953"/>
      <c r="E36" s="71"/>
      <c r="F36" s="72"/>
      <c r="G36" s="72"/>
      <c r="H36" s="73"/>
      <c r="I36" s="74"/>
      <c r="J36" s="74"/>
    </row>
    <row r="37" spans="1:14" ht="12" outlineLevel="1">
      <c r="A37" s="80"/>
      <c r="L37" s="55"/>
      <c r="M37" s="31"/>
      <c r="N37" s="31"/>
    </row>
    <row r="38" ht="12" outlineLevel="1"/>
    <row r="39" ht="12" outlineLevel="1">
      <c r="A39" s="41" t="s">
        <v>135</v>
      </c>
    </row>
    <row r="40" spans="1:11" ht="27.75" customHeight="1" outlineLevel="1" thickBot="1">
      <c r="A40" s="949" t="s">
        <v>381</v>
      </c>
      <c r="B40" s="950"/>
      <c r="C40" s="950"/>
      <c r="D40" s="950"/>
      <c r="E40" s="950"/>
      <c r="F40" s="950"/>
      <c r="G40" s="950"/>
      <c r="H40" s="950"/>
      <c r="I40" s="950"/>
      <c r="J40" s="950"/>
      <c r="K40" s="950"/>
    </row>
    <row r="41" spans="1:10" ht="36.75" customHeight="1" outlineLevel="1" thickBot="1">
      <c r="A41" s="927" t="s">
        <v>103</v>
      </c>
      <c r="B41" s="930" t="s">
        <v>110</v>
      </c>
      <c r="C41" s="931"/>
      <c r="D41" s="932"/>
      <c r="E41" s="939" t="s">
        <v>106</v>
      </c>
      <c r="F41" s="939" t="s">
        <v>108</v>
      </c>
      <c r="G41" s="942" t="s">
        <v>107</v>
      </c>
      <c r="H41" s="943"/>
      <c r="I41" s="943"/>
      <c r="J41" s="944"/>
    </row>
    <row r="42" spans="1:10" ht="13.5" customHeight="1" outlineLevel="1" thickBot="1">
      <c r="A42" s="928"/>
      <c r="B42" s="933"/>
      <c r="C42" s="934"/>
      <c r="D42" s="935"/>
      <c r="E42" s="940"/>
      <c r="F42" s="941"/>
      <c r="G42" s="54"/>
      <c r="H42" s="942" t="s">
        <v>109</v>
      </c>
      <c r="I42" s="943"/>
      <c r="J42" s="944"/>
    </row>
    <row r="43" spans="1:10" ht="12.75" outlineLevel="1" thickBot="1">
      <c r="A43" s="929"/>
      <c r="B43" s="936"/>
      <c r="C43" s="937"/>
      <c r="D43" s="938"/>
      <c r="E43" s="941"/>
      <c r="F43" s="53">
        <v>2016</v>
      </c>
      <c r="G43" s="53">
        <v>2017</v>
      </c>
      <c r="H43" s="53">
        <v>2018</v>
      </c>
      <c r="I43" s="53">
        <v>2019</v>
      </c>
      <c r="J43" s="53">
        <v>2020</v>
      </c>
    </row>
    <row r="44" spans="1:10" ht="84.75" customHeight="1" outlineLevel="1">
      <c r="A44" s="42" t="str">
        <f>'Приложение 3'!J15</f>
        <v>Доля выигранных судебных процессов по трудовым спорам </v>
      </c>
      <c r="B44" s="954"/>
      <c r="C44" s="955"/>
      <c r="D44" s="956"/>
      <c r="E44" s="63" t="s">
        <v>149</v>
      </c>
      <c r="F44" s="64">
        <v>56</v>
      </c>
      <c r="G44" s="65" t="s">
        <v>183</v>
      </c>
      <c r="H44" s="65" t="s">
        <v>183</v>
      </c>
      <c r="I44" s="66" t="s">
        <v>183</v>
      </c>
      <c r="J44" s="66" t="s">
        <v>183</v>
      </c>
    </row>
    <row r="45" spans="1:10" ht="16.5" customHeight="1" outlineLevel="1">
      <c r="A45" s="43"/>
      <c r="B45" s="951"/>
      <c r="C45" s="952"/>
      <c r="D45" s="953"/>
      <c r="E45" s="67"/>
      <c r="F45" s="68"/>
      <c r="G45" s="68"/>
      <c r="H45" s="69"/>
      <c r="I45" s="70"/>
      <c r="J45" s="70"/>
    </row>
    <row r="46" spans="1:10" ht="15.75" customHeight="1" outlineLevel="1" thickBot="1">
      <c r="A46" s="44"/>
      <c r="B46" s="951"/>
      <c r="C46" s="952"/>
      <c r="D46" s="953"/>
      <c r="E46" s="71"/>
      <c r="F46" s="72"/>
      <c r="G46" s="72"/>
      <c r="H46" s="73"/>
      <c r="I46" s="74"/>
      <c r="J46" s="74"/>
    </row>
    <row r="47" ht="12" outlineLevel="1"/>
    <row r="48" ht="12" outlineLevel="1">
      <c r="A48" s="41" t="s">
        <v>135</v>
      </c>
    </row>
    <row r="49" spans="1:11" ht="27.75" customHeight="1" outlineLevel="1" thickBot="1">
      <c r="A49" s="949" t="s">
        <v>381</v>
      </c>
      <c r="B49" s="950"/>
      <c r="C49" s="950"/>
      <c r="D49" s="950"/>
      <c r="E49" s="950"/>
      <c r="F49" s="950"/>
      <c r="G49" s="950"/>
      <c r="H49" s="950"/>
      <c r="I49" s="950"/>
      <c r="J49" s="950"/>
      <c r="K49" s="950"/>
    </row>
    <row r="50" spans="1:10" ht="36.75" customHeight="1" outlineLevel="1" thickBot="1">
      <c r="A50" s="927" t="s">
        <v>103</v>
      </c>
      <c r="B50" s="930" t="s">
        <v>110</v>
      </c>
      <c r="C50" s="931"/>
      <c r="D50" s="932"/>
      <c r="E50" s="939" t="s">
        <v>106</v>
      </c>
      <c r="F50" s="939" t="s">
        <v>108</v>
      </c>
      <c r="G50" s="942" t="s">
        <v>107</v>
      </c>
      <c r="H50" s="943"/>
      <c r="I50" s="943"/>
      <c r="J50" s="944"/>
    </row>
    <row r="51" spans="1:10" ht="13.5" customHeight="1" outlineLevel="1" thickBot="1">
      <c r="A51" s="928"/>
      <c r="B51" s="933"/>
      <c r="C51" s="934"/>
      <c r="D51" s="935"/>
      <c r="E51" s="940"/>
      <c r="F51" s="941"/>
      <c r="G51" s="54"/>
      <c r="H51" s="942" t="s">
        <v>109</v>
      </c>
      <c r="I51" s="943"/>
      <c r="J51" s="944"/>
    </row>
    <row r="52" spans="1:10" ht="12.75" outlineLevel="1" thickBot="1">
      <c r="A52" s="929"/>
      <c r="B52" s="936"/>
      <c r="C52" s="937"/>
      <c r="D52" s="938"/>
      <c r="E52" s="941"/>
      <c r="F52" s="53">
        <v>2016</v>
      </c>
      <c r="G52" s="53">
        <v>2017</v>
      </c>
      <c r="H52" s="53">
        <v>2018</v>
      </c>
      <c r="I52" s="53">
        <v>2019</v>
      </c>
      <c r="J52" s="53">
        <v>2020</v>
      </c>
    </row>
    <row r="53" spans="1:10" ht="84.75" customHeight="1" outlineLevel="1">
      <c r="A53" s="42" t="str">
        <f>'Приложение 3'!J16</f>
        <v>Отношение выигранных судебных дел к их общему количеству</v>
      </c>
      <c r="B53" s="954"/>
      <c r="C53" s="955"/>
      <c r="D53" s="956"/>
      <c r="E53" s="63"/>
      <c r="F53" s="64" t="s">
        <v>33</v>
      </c>
      <c r="G53" s="65" t="s">
        <v>183</v>
      </c>
      <c r="H53" s="65" t="s">
        <v>183</v>
      </c>
      <c r="I53" s="66" t="s">
        <v>183</v>
      </c>
      <c r="J53" s="66" t="s">
        <v>410</v>
      </c>
    </row>
    <row r="54" spans="1:10" ht="16.5" customHeight="1" outlineLevel="1">
      <c r="A54" s="43"/>
      <c r="B54" s="951"/>
      <c r="C54" s="952"/>
      <c r="D54" s="953"/>
      <c r="E54" s="67"/>
      <c r="F54" s="68"/>
      <c r="G54" s="68"/>
      <c r="H54" s="69"/>
      <c r="I54" s="70"/>
      <c r="J54" s="70"/>
    </row>
    <row r="55" spans="1:10" ht="15.75" customHeight="1" outlineLevel="1" thickBot="1">
      <c r="A55" s="44"/>
      <c r="B55" s="951"/>
      <c r="C55" s="952"/>
      <c r="D55" s="953"/>
      <c r="E55" s="71"/>
      <c r="F55" s="72"/>
      <c r="G55" s="72"/>
      <c r="H55" s="73"/>
      <c r="I55" s="74"/>
      <c r="J55" s="74"/>
    </row>
    <row r="56" ht="12" outlineLevel="1"/>
    <row r="57" ht="12" outlineLevel="1">
      <c r="A57" s="41" t="s">
        <v>135</v>
      </c>
    </row>
    <row r="58" spans="1:11" ht="27.75" customHeight="1" outlineLevel="1" thickBot="1">
      <c r="A58" s="949" t="s">
        <v>381</v>
      </c>
      <c r="B58" s="950"/>
      <c r="C58" s="950"/>
      <c r="D58" s="950"/>
      <c r="E58" s="950"/>
      <c r="F58" s="950"/>
      <c r="G58" s="950"/>
      <c r="H58" s="950"/>
      <c r="I58" s="950"/>
      <c r="J58" s="950"/>
      <c r="K58" s="950"/>
    </row>
    <row r="59" spans="1:10" ht="36.75" customHeight="1" outlineLevel="1" thickBot="1">
      <c r="A59" s="927" t="s">
        <v>103</v>
      </c>
      <c r="B59" s="930" t="s">
        <v>110</v>
      </c>
      <c r="C59" s="931"/>
      <c r="D59" s="932"/>
      <c r="E59" s="939" t="s">
        <v>106</v>
      </c>
      <c r="F59" s="939" t="s">
        <v>108</v>
      </c>
      <c r="G59" s="942" t="s">
        <v>107</v>
      </c>
      <c r="H59" s="943"/>
      <c r="I59" s="943"/>
      <c r="J59" s="944"/>
    </row>
    <row r="60" spans="1:10" ht="13.5" customHeight="1" outlineLevel="1" thickBot="1">
      <c r="A60" s="928"/>
      <c r="B60" s="933"/>
      <c r="C60" s="934"/>
      <c r="D60" s="935"/>
      <c r="E60" s="940"/>
      <c r="F60" s="941"/>
      <c r="G60" s="54"/>
      <c r="H60" s="942" t="s">
        <v>109</v>
      </c>
      <c r="I60" s="943"/>
      <c r="J60" s="944"/>
    </row>
    <row r="61" spans="1:10" ht="12.75" outlineLevel="1" thickBot="1">
      <c r="A61" s="929"/>
      <c r="B61" s="936"/>
      <c r="C61" s="937"/>
      <c r="D61" s="938"/>
      <c r="E61" s="941"/>
      <c r="F61" s="53">
        <v>2016</v>
      </c>
      <c r="G61" s="53">
        <v>2017</v>
      </c>
      <c r="H61" s="53">
        <v>2018</v>
      </c>
      <c r="I61" s="53">
        <v>2019</v>
      </c>
      <c r="J61" s="53">
        <v>2020</v>
      </c>
    </row>
    <row r="62" spans="1:10" ht="84.75" customHeight="1" outlineLevel="1">
      <c r="A62" s="42" t="str">
        <f>'Приложение 3'!J17</f>
        <v>Количество положительных упоминаний мин-ва/вед-ва в СМИ</v>
      </c>
      <c r="B62" s="954"/>
      <c r="C62" s="955"/>
      <c r="D62" s="956"/>
      <c r="E62" s="63" t="s">
        <v>149</v>
      </c>
      <c r="F62" s="64">
        <v>128</v>
      </c>
      <c r="G62" s="65" t="s">
        <v>183</v>
      </c>
      <c r="H62" s="65" t="s">
        <v>183</v>
      </c>
      <c r="I62" s="66" t="s">
        <v>183</v>
      </c>
      <c r="J62" s="66" t="s">
        <v>183</v>
      </c>
    </row>
    <row r="63" spans="1:10" ht="16.5" customHeight="1" outlineLevel="1">
      <c r="A63" s="43"/>
      <c r="B63" s="951"/>
      <c r="C63" s="952"/>
      <c r="D63" s="953"/>
      <c r="E63" s="67"/>
      <c r="F63" s="68"/>
      <c r="G63" s="68"/>
      <c r="H63" s="69"/>
      <c r="I63" s="70"/>
      <c r="J63" s="70"/>
    </row>
    <row r="64" spans="1:10" ht="15.75" customHeight="1" outlineLevel="1" thickBot="1">
      <c r="A64" s="44"/>
      <c r="B64" s="951"/>
      <c r="C64" s="952"/>
      <c r="D64" s="953"/>
      <c r="E64" s="71"/>
      <c r="F64" s="72"/>
      <c r="G64" s="72"/>
      <c r="H64" s="73"/>
      <c r="I64" s="74"/>
      <c r="J64" s="74"/>
    </row>
    <row r="65" spans="1:14" ht="12" outlineLevel="1">
      <c r="A65" s="80"/>
      <c r="L65" s="55"/>
      <c r="M65" s="31"/>
      <c r="N65" s="31"/>
    </row>
    <row r="66" ht="12" outlineLevel="1"/>
    <row r="67" ht="12" outlineLevel="1">
      <c r="A67" s="41" t="s">
        <v>135</v>
      </c>
    </row>
    <row r="68" spans="1:11" ht="27.75" customHeight="1" outlineLevel="1" thickBot="1">
      <c r="A68" s="949" t="s">
        <v>381</v>
      </c>
      <c r="B68" s="950"/>
      <c r="C68" s="950"/>
      <c r="D68" s="950"/>
      <c r="E68" s="950"/>
      <c r="F68" s="950"/>
      <c r="G68" s="950"/>
      <c r="H68" s="950"/>
      <c r="I68" s="950"/>
      <c r="J68" s="950"/>
      <c r="K68" s="950"/>
    </row>
    <row r="69" spans="1:10" ht="36.75" customHeight="1" outlineLevel="1" thickBot="1">
      <c r="A69" s="927" t="s">
        <v>103</v>
      </c>
      <c r="B69" s="930" t="s">
        <v>110</v>
      </c>
      <c r="C69" s="931"/>
      <c r="D69" s="932"/>
      <c r="E69" s="939" t="s">
        <v>106</v>
      </c>
      <c r="F69" s="939" t="s">
        <v>108</v>
      </c>
      <c r="G69" s="942" t="s">
        <v>107</v>
      </c>
      <c r="H69" s="943"/>
      <c r="I69" s="943"/>
      <c r="J69" s="944"/>
    </row>
    <row r="70" spans="1:10" ht="13.5" customHeight="1" outlineLevel="1" thickBot="1">
      <c r="A70" s="928"/>
      <c r="B70" s="933"/>
      <c r="C70" s="934"/>
      <c r="D70" s="935"/>
      <c r="E70" s="940"/>
      <c r="F70" s="941"/>
      <c r="G70" s="54"/>
      <c r="H70" s="942" t="s">
        <v>109</v>
      </c>
      <c r="I70" s="943"/>
      <c r="J70" s="944"/>
    </row>
    <row r="71" spans="1:10" ht="12.75" outlineLevel="1" thickBot="1">
      <c r="A71" s="929"/>
      <c r="B71" s="936"/>
      <c r="C71" s="937"/>
      <c r="D71" s="938"/>
      <c r="E71" s="941"/>
      <c r="F71" s="53">
        <v>2016</v>
      </c>
      <c r="G71" s="53">
        <v>2017</v>
      </c>
      <c r="H71" s="53">
        <v>2018</v>
      </c>
      <c r="I71" s="53">
        <v>2019</v>
      </c>
      <c r="J71" s="53">
        <v>2020</v>
      </c>
    </row>
    <row r="72" spans="1:10" ht="84.75" customHeight="1" outlineLevel="1">
      <c r="A72" s="42" t="str">
        <f>'Приложение 3'!J18</f>
        <v>Доля сотрудников служб обеспечения от общей численности сотрудников ЦА </v>
      </c>
      <c r="B72" s="954"/>
      <c r="C72" s="955"/>
      <c r="D72" s="956"/>
      <c r="E72" s="63" t="s">
        <v>149</v>
      </c>
      <c r="F72" s="64">
        <v>18</v>
      </c>
      <c r="G72" s="65" t="s">
        <v>204</v>
      </c>
      <c r="H72" s="65" t="s">
        <v>204</v>
      </c>
      <c r="I72" s="66" t="s">
        <v>183</v>
      </c>
      <c r="J72" s="66" t="s">
        <v>183</v>
      </c>
    </row>
    <row r="73" spans="1:10" ht="16.5" customHeight="1" outlineLevel="1">
      <c r="A73" s="43"/>
      <c r="B73" s="951"/>
      <c r="C73" s="952"/>
      <c r="D73" s="953"/>
      <c r="E73" s="67"/>
      <c r="F73" s="68"/>
      <c r="G73" s="68"/>
      <c r="H73" s="69"/>
      <c r="I73" s="70"/>
      <c r="J73" s="70"/>
    </row>
    <row r="74" spans="1:10" ht="15.75" customHeight="1" outlineLevel="1" thickBot="1">
      <c r="A74" s="44"/>
      <c r="B74" s="951"/>
      <c r="C74" s="952"/>
      <c r="D74" s="953"/>
      <c r="E74" s="71"/>
      <c r="F74" s="72"/>
      <c r="G74" s="72"/>
      <c r="H74" s="73"/>
      <c r="I74" s="74"/>
      <c r="J74" s="74"/>
    </row>
    <row r="75" ht="12" outlineLevel="1"/>
    <row r="76" spans="1:14" ht="12.75" outlineLevel="1" thickBot="1">
      <c r="A76" s="80"/>
      <c r="L76" s="55"/>
      <c r="M76" s="31"/>
      <c r="N76" s="31"/>
    </row>
    <row r="77" spans="1:12" ht="24" customHeight="1" outlineLevel="1" thickBot="1">
      <c r="A77" s="33" t="s">
        <v>126</v>
      </c>
      <c r="B77" s="959" t="s">
        <v>242</v>
      </c>
      <c r="C77" s="950"/>
      <c r="D77" s="950"/>
      <c r="E77" s="950"/>
      <c r="F77" s="950"/>
      <c r="G77" s="950"/>
      <c r="H77" s="950"/>
      <c r="I77" s="950"/>
      <c r="J77" s="950"/>
      <c r="K77" s="950"/>
      <c r="L77" s="950"/>
    </row>
    <row r="78" spans="1:12" ht="20.25" customHeight="1" outlineLevel="1" thickBot="1">
      <c r="A78" s="34" t="s">
        <v>127</v>
      </c>
      <c r="B78" s="949" t="s">
        <v>26</v>
      </c>
      <c r="C78" s="950"/>
      <c r="D78" s="950"/>
      <c r="E78" s="950"/>
      <c r="F78" s="950"/>
      <c r="G78" s="950"/>
      <c r="H78" s="950"/>
      <c r="I78" s="950"/>
      <c r="J78" s="950"/>
      <c r="K78" s="950"/>
      <c r="L78" s="950"/>
    </row>
    <row r="79" spans="1:12" ht="28.5" customHeight="1" outlineLevel="1" thickBot="1">
      <c r="A79" s="35" t="s">
        <v>128</v>
      </c>
      <c r="B79" s="949" t="s">
        <v>382</v>
      </c>
      <c r="C79" s="957"/>
      <c r="D79" s="957"/>
      <c r="E79" s="957"/>
      <c r="F79" s="957"/>
      <c r="G79" s="957"/>
      <c r="H79" s="957"/>
      <c r="I79" s="957"/>
      <c r="J79" s="957"/>
      <c r="K79" s="957"/>
      <c r="L79" s="957"/>
    </row>
    <row r="80" spans="1:12" ht="29.25" customHeight="1" outlineLevel="1" thickBot="1">
      <c r="A80" s="36" t="s">
        <v>104</v>
      </c>
      <c r="B80" s="958" t="s">
        <v>70</v>
      </c>
      <c r="C80" s="958"/>
      <c r="D80" s="958"/>
      <c r="E80" s="958"/>
      <c r="F80" s="958"/>
      <c r="G80" s="958"/>
      <c r="H80" s="958"/>
      <c r="I80" s="958"/>
      <c r="J80" s="958"/>
      <c r="K80" s="958"/>
      <c r="L80" s="959"/>
    </row>
    <row r="81" spans="1:12" s="37" customFormat="1" ht="39.75" customHeight="1" outlineLevel="1" thickBot="1">
      <c r="A81" s="34" t="s">
        <v>130</v>
      </c>
      <c r="B81" s="47" t="s">
        <v>243</v>
      </c>
      <c r="C81" s="960" t="s">
        <v>131</v>
      </c>
      <c r="D81" s="961"/>
      <c r="E81" s="47"/>
      <c r="F81" s="962" t="s">
        <v>132</v>
      </c>
      <c r="G81" s="952"/>
      <c r="H81" s="952"/>
      <c r="I81" s="963"/>
      <c r="J81" s="967" t="s">
        <v>133</v>
      </c>
      <c r="K81" s="967"/>
      <c r="L81" s="967"/>
    </row>
    <row r="82" spans="1:12" ht="65.25" customHeight="1" outlineLevel="1" thickBot="1">
      <c r="A82" s="34" t="s">
        <v>134</v>
      </c>
      <c r="B82" s="968" t="s">
        <v>76</v>
      </c>
      <c r="C82" s="969"/>
      <c r="D82" s="969"/>
      <c r="E82" s="969"/>
      <c r="F82" s="969"/>
      <c r="G82" s="969"/>
      <c r="H82" s="969"/>
      <c r="I82" s="969"/>
      <c r="J82" s="969"/>
      <c r="K82" s="969"/>
      <c r="L82" s="969"/>
    </row>
    <row r="83" spans="1:12" ht="51" customHeight="1" outlineLevel="1" thickBot="1">
      <c r="A83" s="34" t="s">
        <v>129</v>
      </c>
      <c r="B83" s="966"/>
      <c r="C83" s="950"/>
      <c r="D83" s="950"/>
      <c r="E83" s="950"/>
      <c r="F83" s="950"/>
      <c r="G83" s="950"/>
      <c r="H83" s="950"/>
      <c r="I83" s="950"/>
      <c r="J83" s="950"/>
      <c r="K83" s="950"/>
      <c r="L83" s="950"/>
    </row>
    <row r="84" ht="20.25" customHeight="1" outlineLevel="1"/>
    <row r="85" ht="20.25" customHeight="1" outlineLevel="1">
      <c r="A85" s="38" t="s">
        <v>125</v>
      </c>
    </row>
    <row r="86" spans="1:12" ht="36" customHeight="1" outlineLevel="1" thickBot="1">
      <c r="A86" s="949" t="s">
        <v>71</v>
      </c>
      <c r="B86" s="950"/>
      <c r="C86" s="950"/>
      <c r="D86" s="950"/>
      <c r="E86" s="950"/>
      <c r="F86" s="950"/>
      <c r="G86" s="950"/>
      <c r="H86" s="950"/>
      <c r="I86" s="950"/>
      <c r="J86" s="950"/>
      <c r="K86" s="950"/>
      <c r="L86" s="57" t="s">
        <v>138</v>
      </c>
    </row>
    <row r="87" spans="1:12" ht="13.5" customHeight="1" outlineLevel="1" thickBot="1">
      <c r="A87" s="927" t="s">
        <v>29</v>
      </c>
      <c r="B87" s="964" t="s">
        <v>119</v>
      </c>
      <c r="C87" s="965"/>
      <c r="D87" s="965"/>
      <c r="E87" s="965"/>
      <c r="F87" s="939" t="s">
        <v>120</v>
      </c>
      <c r="G87" s="939" t="s">
        <v>121</v>
      </c>
      <c r="H87" s="942" t="s">
        <v>122</v>
      </c>
      <c r="I87" s="943"/>
      <c r="J87" s="943"/>
      <c r="K87" s="943"/>
      <c r="L87" s="945" t="s">
        <v>124</v>
      </c>
    </row>
    <row r="88" spans="1:12" ht="13.5" customHeight="1" outlineLevel="1" thickBot="1">
      <c r="A88" s="928"/>
      <c r="B88" s="48"/>
      <c r="C88" s="947" t="s">
        <v>117</v>
      </c>
      <c r="D88" s="948"/>
      <c r="E88" s="930" t="s">
        <v>123</v>
      </c>
      <c r="F88" s="940"/>
      <c r="G88" s="940"/>
      <c r="H88" s="930" t="s">
        <v>112</v>
      </c>
      <c r="I88" s="947" t="s">
        <v>117</v>
      </c>
      <c r="J88" s="948"/>
      <c r="K88" s="930" t="s">
        <v>123</v>
      </c>
      <c r="L88" s="946"/>
    </row>
    <row r="89" spans="1:12" ht="43.5" customHeight="1" outlineLevel="1" thickBot="1">
      <c r="A89" s="929"/>
      <c r="B89" s="49" t="s">
        <v>112</v>
      </c>
      <c r="C89" s="50" t="s">
        <v>116</v>
      </c>
      <c r="D89" s="51" t="s">
        <v>118</v>
      </c>
      <c r="E89" s="936"/>
      <c r="F89" s="941"/>
      <c r="G89" s="941"/>
      <c r="H89" s="941"/>
      <c r="I89" s="50" t="s">
        <v>116</v>
      </c>
      <c r="J89" s="51" t="s">
        <v>118</v>
      </c>
      <c r="K89" s="936"/>
      <c r="L89" s="946"/>
    </row>
    <row r="90" spans="1:14" ht="20.25" customHeight="1" outlineLevel="1" thickBot="1">
      <c r="A90" s="39">
        <v>2017</v>
      </c>
      <c r="B90" s="52">
        <v>274123.5</v>
      </c>
      <c r="C90" s="52">
        <v>152437</v>
      </c>
      <c r="D90" s="52">
        <v>26295.4</v>
      </c>
      <c r="E90" s="52">
        <v>280200</v>
      </c>
      <c r="F90" s="52"/>
      <c r="G90" s="52"/>
      <c r="H90" s="52">
        <v>1959.4</v>
      </c>
      <c r="I90" s="52">
        <v>1000</v>
      </c>
      <c r="J90" s="52">
        <v>172.5</v>
      </c>
      <c r="K90" s="58">
        <v>300</v>
      </c>
      <c r="L90" s="59">
        <f>B90+F90+G90+H90+E90+K90</f>
        <v>556582.9</v>
      </c>
      <c r="N90" s="189"/>
    </row>
    <row r="91" spans="1:12" ht="21.75" customHeight="1" outlineLevel="1" thickBot="1">
      <c r="A91" s="39">
        <v>2018</v>
      </c>
      <c r="B91" s="52">
        <f aca="true" t="shared" si="2" ref="B91:E92">B90*1%+B90</f>
        <v>276864.735</v>
      </c>
      <c r="C91" s="52">
        <f t="shared" si="2"/>
        <v>153961.37</v>
      </c>
      <c r="D91" s="52">
        <f t="shared" si="2"/>
        <v>26558.354000000003</v>
      </c>
      <c r="E91" s="52">
        <f t="shared" si="2"/>
        <v>283002</v>
      </c>
      <c r="F91" s="52"/>
      <c r="G91" s="52"/>
      <c r="H91" s="52">
        <f aca="true" t="shared" si="3" ref="H91:K92">H90*1%+H90</f>
        <v>1978.9940000000001</v>
      </c>
      <c r="I91" s="52">
        <f t="shared" si="3"/>
        <v>1010</v>
      </c>
      <c r="J91" s="52">
        <f t="shared" si="3"/>
        <v>174.225</v>
      </c>
      <c r="K91" s="52">
        <f t="shared" si="3"/>
        <v>303</v>
      </c>
      <c r="L91" s="59">
        <f>B91+F91+G91+H91+E91+K91</f>
        <v>562148.729</v>
      </c>
    </row>
    <row r="92" spans="1:12" ht="23.25" customHeight="1" outlineLevel="1" thickBot="1">
      <c r="A92" s="40">
        <v>2019</v>
      </c>
      <c r="B92" s="52">
        <f t="shared" si="2"/>
        <v>279633.38234999997</v>
      </c>
      <c r="C92" s="52">
        <f t="shared" si="2"/>
        <v>155500.98369999998</v>
      </c>
      <c r="D92" s="52">
        <f t="shared" si="2"/>
        <v>26823.937540000003</v>
      </c>
      <c r="E92" s="52">
        <f t="shared" si="2"/>
        <v>285832.02</v>
      </c>
      <c r="F92" s="52"/>
      <c r="G92" s="52"/>
      <c r="H92" s="52">
        <f t="shared" si="3"/>
        <v>1998.7839400000003</v>
      </c>
      <c r="I92" s="52">
        <f t="shared" si="3"/>
        <v>1020.1</v>
      </c>
      <c r="J92" s="52">
        <f t="shared" si="3"/>
        <v>175.96725</v>
      </c>
      <c r="K92" s="52">
        <f t="shared" si="3"/>
        <v>306.03</v>
      </c>
      <c r="L92" s="59">
        <f>B92+F92+G92+H92+E92+K92</f>
        <v>567770.21629</v>
      </c>
    </row>
    <row r="93" ht="12" outlineLevel="1"/>
    <row r="94" ht="12" outlineLevel="1">
      <c r="A94" s="41" t="s">
        <v>135</v>
      </c>
    </row>
    <row r="95" spans="1:11" ht="27.75" customHeight="1" outlineLevel="1" thickBot="1">
      <c r="A95" s="949" t="s">
        <v>69</v>
      </c>
      <c r="B95" s="950"/>
      <c r="C95" s="950"/>
      <c r="D95" s="950"/>
      <c r="E95" s="950"/>
      <c r="F95" s="950"/>
      <c r="G95" s="950"/>
      <c r="H95" s="950"/>
      <c r="I95" s="950"/>
      <c r="J95" s="950"/>
      <c r="K95" s="950"/>
    </row>
    <row r="96" spans="1:10" ht="36.75" customHeight="1" outlineLevel="1" thickBot="1">
      <c r="A96" s="927" t="s">
        <v>103</v>
      </c>
      <c r="B96" s="930" t="s">
        <v>110</v>
      </c>
      <c r="C96" s="931"/>
      <c r="D96" s="932"/>
      <c r="E96" s="939" t="s">
        <v>106</v>
      </c>
      <c r="F96" s="939" t="s">
        <v>108</v>
      </c>
      <c r="G96" s="942" t="s">
        <v>107</v>
      </c>
      <c r="H96" s="943"/>
      <c r="I96" s="943"/>
      <c r="J96" s="944"/>
    </row>
    <row r="97" spans="1:10" ht="13.5" customHeight="1" outlineLevel="1" thickBot="1">
      <c r="A97" s="928"/>
      <c r="B97" s="933"/>
      <c r="C97" s="934"/>
      <c r="D97" s="935"/>
      <c r="E97" s="940"/>
      <c r="F97" s="941"/>
      <c r="G97" s="54"/>
      <c r="H97" s="942" t="s">
        <v>109</v>
      </c>
      <c r="I97" s="943"/>
      <c r="J97" s="944"/>
    </row>
    <row r="98" spans="1:10" ht="12.75" outlineLevel="1" thickBot="1">
      <c r="A98" s="929"/>
      <c r="B98" s="936"/>
      <c r="C98" s="937"/>
      <c r="D98" s="938"/>
      <c r="E98" s="941"/>
      <c r="F98" s="53">
        <v>2016</v>
      </c>
      <c r="G98" s="53">
        <v>2017</v>
      </c>
      <c r="H98" s="53">
        <v>2018</v>
      </c>
      <c r="I98" s="53">
        <v>2019</v>
      </c>
      <c r="J98" s="53">
        <v>2020</v>
      </c>
    </row>
    <row r="99" spans="1:10" ht="84.75" customHeight="1" outlineLevel="1">
      <c r="A99" s="42" t="s">
        <v>28</v>
      </c>
      <c r="B99" s="954"/>
      <c r="C99" s="955"/>
      <c r="D99" s="956"/>
      <c r="E99" s="63" t="s">
        <v>149</v>
      </c>
      <c r="F99" s="64">
        <v>100</v>
      </c>
      <c r="G99" s="64">
        <v>100</v>
      </c>
      <c r="H99" s="65">
        <v>100</v>
      </c>
      <c r="I99" s="66">
        <v>101</v>
      </c>
      <c r="J99" s="66">
        <v>102</v>
      </c>
    </row>
    <row r="100" spans="1:10" ht="16.5" customHeight="1" outlineLevel="1">
      <c r="A100" s="43"/>
      <c r="B100" s="951"/>
      <c r="C100" s="952"/>
      <c r="D100" s="953"/>
      <c r="E100" s="67"/>
      <c r="F100" s="68"/>
      <c r="G100" s="68"/>
      <c r="H100" s="69"/>
      <c r="I100" s="70"/>
      <c r="J100" s="70"/>
    </row>
    <row r="101" spans="1:10" ht="15.75" customHeight="1" outlineLevel="1" thickBot="1">
      <c r="A101" s="44"/>
      <c r="B101" s="951"/>
      <c r="C101" s="952"/>
      <c r="D101" s="953"/>
      <c r="E101" s="71"/>
      <c r="F101" s="72"/>
      <c r="G101" s="72"/>
      <c r="H101" s="73"/>
      <c r="I101" s="74"/>
      <c r="J101" s="74"/>
    </row>
    <row r="102" spans="1:14" ht="12" outlineLevel="1">
      <c r="A102" s="80"/>
      <c r="L102" s="55"/>
      <c r="M102" s="31"/>
      <c r="N102" s="31"/>
    </row>
    <row r="103" spans="12:14" ht="12">
      <c r="L103" s="55" t="s">
        <v>137</v>
      </c>
      <c r="M103" s="31"/>
      <c r="N103" s="31"/>
    </row>
    <row r="104" ht="24" customHeight="1" thickBot="1">
      <c r="A104" s="32">
        <v>2</v>
      </c>
    </row>
    <row r="105" spans="1:12" ht="24" customHeight="1" thickBot="1">
      <c r="A105" s="33" t="s">
        <v>126</v>
      </c>
      <c r="B105" s="959" t="s">
        <v>242</v>
      </c>
      <c r="C105" s="950"/>
      <c r="D105" s="950"/>
      <c r="E105" s="950"/>
      <c r="F105" s="950"/>
      <c r="G105" s="950"/>
      <c r="H105" s="950"/>
      <c r="I105" s="950"/>
      <c r="J105" s="950"/>
      <c r="K105" s="950"/>
      <c r="L105" s="950"/>
    </row>
    <row r="106" spans="1:12" ht="20.25" customHeight="1" thickBot="1">
      <c r="A106" s="34" t="s">
        <v>127</v>
      </c>
      <c r="B106" s="949" t="s">
        <v>406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</row>
    <row r="107" spans="1:12" ht="60" customHeight="1" thickBot="1">
      <c r="A107" s="35" t="s">
        <v>128</v>
      </c>
      <c r="B107" s="949" t="s">
        <v>384</v>
      </c>
      <c r="C107" s="950"/>
      <c r="D107" s="950"/>
      <c r="E107" s="950"/>
      <c r="F107" s="950"/>
      <c r="G107" s="950"/>
      <c r="H107" s="950"/>
      <c r="I107" s="950"/>
      <c r="J107" s="950"/>
      <c r="K107" s="950"/>
      <c r="L107" s="950"/>
    </row>
    <row r="108" spans="1:12" ht="63.75" customHeight="1" thickBot="1">
      <c r="A108" s="36" t="s">
        <v>104</v>
      </c>
      <c r="B108" s="1012" t="s">
        <v>427</v>
      </c>
      <c r="C108" s="973"/>
      <c r="D108" s="973"/>
      <c r="E108" s="973"/>
      <c r="F108" s="973"/>
      <c r="G108" s="973"/>
      <c r="H108" s="973"/>
      <c r="I108" s="973"/>
      <c r="J108" s="973"/>
      <c r="K108" s="973"/>
      <c r="L108" s="974"/>
    </row>
    <row r="109" spans="1:12" s="37" customFormat="1" ht="46.5" customHeight="1" thickBot="1">
      <c r="A109" s="34" t="s">
        <v>130</v>
      </c>
      <c r="B109" s="47" t="s">
        <v>243</v>
      </c>
      <c r="C109" s="960" t="s">
        <v>131</v>
      </c>
      <c r="D109" s="961"/>
      <c r="E109" s="56"/>
      <c r="F109" s="962" t="s">
        <v>132</v>
      </c>
      <c r="G109" s="952"/>
      <c r="H109" s="952"/>
      <c r="I109" s="963"/>
      <c r="J109" s="967" t="s">
        <v>133</v>
      </c>
      <c r="K109" s="967"/>
      <c r="L109" s="967"/>
    </row>
    <row r="110" spans="1:12" ht="139.5" customHeight="1" thickBot="1">
      <c r="A110" s="34" t="s">
        <v>134</v>
      </c>
      <c r="B110" s="968" t="s">
        <v>383</v>
      </c>
      <c r="C110" s="969"/>
      <c r="D110" s="969"/>
      <c r="E110" s="969"/>
      <c r="F110" s="969"/>
      <c r="G110" s="969"/>
      <c r="H110" s="969"/>
      <c r="I110" s="969"/>
      <c r="J110" s="969"/>
      <c r="K110" s="969"/>
      <c r="L110" s="969"/>
    </row>
    <row r="111" spans="1:12" ht="51" customHeight="1" thickBot="1">
      <c r="A111" s="34" t="s">
        <v>129</v>
      </c>
      <c r="B111" s="970" t="s">
        <v>426</v>
      </c>
      <c r="C111" s="971"/>
      <c r="D111" s="971"/>
      <c r="E111" s="971"/>
      <c r="F111" s="971"/>
      <c r="G111" s="971"/>
      <c r="H111" s="971"/>
      <c r="I111" s="971"/>
      <c r="J111" s="971"/>
      <c r="K111" s="971"/>
      <c r="L111" s="971"/>
    </row>
    <row r="112" ht="20.25" customHeight="1"/>
    <row r="113" ht="20.25" customHeight="1">
      <c r="A113" s="38" t="s">
        <v>125</v>
      </c>
    </row>
    <row r="114" spans="1:12" ht="36" customHeight="1" thickBot="1">
      <c r="A114" s="949" t="s">
        <v>384</v>
      </c>
      <c r="B114" s="950"/>
      <c r="C114" s="950"/>
      <c r="D114" s="950"/>
      <c r="E114" s="950"/>
      <c r="F114" s="950"/>
      <c r="G114" s="950"/>
      <c r="H114" s="950"/>
      <c r="I114" s="950"/>
      <c r="J114" s="950"/>
      <c r="K114" s="950"/>
      <c r="L114" s="57" t="s">
        <v>138</v>
      </c>
    </row>
    <row r="115" spans="1:12" ht="13.5" customHeight="1" thickBot="1">
      <c r="A115" s="927" t="s">
        <v>244</v>
      </c>
      <c r="B115" s="964" t="s">
        <v>119</v>
      </c>
      <c r="C115" s="965"/>
      <c r="D115" s="965"/>
      <c r="E115" s="965"/>
      <c r="F115" s="939" t="s">
        <v>120</v>
      </c>
      <c r="G115" s="939" t="s">
        <v>121</v>
      </c>
      <c r="H115" s="942" t="s">
        <v>122</v>
      </c>
      <c r="I115" s="943"/>
      <c r="J115" s="943"/>
      <c r="K115" s="943"/>
      <c r="L115" s="945" t="s">
        <v>124</v>
      </c>
    </row>
    <row r="116" spans="1:12" ht="13.5" customHeight="1" thickBot="1">
      <c r="A116" s="928"/>
      <c r="B116" s="48"/>
      <c r="C116" s="947" t="s">
        <v>117</v>
      </c>
      <c r="D116" s="948"/>
      <c r="E116" s="930" t="s">
        <v>123</v>
      </c>
      <c r="F116" s="940"/>
      <c r="G116" s="940"/>
      <c r="H116" s="930" t="s">
        <v>112</v>
      </c>
      <c r="I116" s="947" t="s">
        <v>117</v>
      </c>
      <c r="J116" s="948"/>
      <c r="K116" s="930" t="s">
        <v>123</v>
      </c>
      <c r="L116" s="946"/>
    </row>
    <row r="117" spans="1:12" ht="43.5" customHeight="1" thickBot="1">
      <c r="A117" s="929"/>
      <c r="B117" s="49" t="s">
        <v>112</v>
      </c>
      <c r="C117" s="50" t="s">
        <v>116</v>
      </c>
      <c r="D117" s="51" t="s">
        <v>118</v>
      </c>
      <c r="E117" s="936"/>
      <c r="F117" s="941"/>
      <c r="G117" s="941"/>
      <c r="H117" s="941"/>
      <c r="I117" s="50" t="s">
        <v>116</v>
      </c>
      <c r="J117" s="51" t="s">
        <v>118</v>
      </c>
      <c r="K117" s="936"/>
      <c r="L117" s="946"/>
    </row>
    <row r="118" spans="1:16" ht="20.25" customHeight="1" thickBot="1">
      <c r="A118" s="39">
        <v>2017</v>
      </c>
      <c r="B118" s="52">
        <v>2748158.2</v>
      </c>
      <c r="C118" s="52">
        <v>2330878.4</v>
      </c>
      <c r="D118" s="52">
        <v>402076.6</v>
      </c>
      <c r="E118" s="52"/>
      <c r="F118" s="52"/>
      <c r="G118" s="52"/>
      <c r="H118" s="624">
        <v>11960.8</v>
      </c>
      <c r="I118" s="52"/>
      <c r="J118" s="52"/>
      <c r="K118" s="58"/>
      <c r="L118" s="59">
        <f>B118+F118+G118+H118</f>
        <v>2760119</v>
      </c>
      <c r="N118" s="218" t="e">
        <f>C118+#REF!+C155</f>
        <v>#REF!</v>
      </c>
      <c r="O118" s="218" t="e">
        <f>D118+#REF!+D155</f>
        <v>#REF!</v>
      </c>
      <c r="P118" s="219"/>
    </row>
    <row r="119" spans="1:16" ht="21.75" customHeight="1" thickBot="1">
      <c r="A119" s="39">
        <v>2018</v>
      </c>
      <c r="B119" s="52">
        <f aca="true" t="shared" si="4" ref="B119:D120">B118*1%+B118</f>
        <v>2775639.782</v>
      </c>
      <c r="C119" s="52">
        <f t="shared" si="4"/>
        <v>2354187.184</v>
      </c>
      <c r="D119" s="52">
        <f t="shared" si="4"/>
        <v>406097.366</v>
      </c>
      <c r="E119" s="60"/>
      <c r="F119" s="60"/>
      <c r="G119" s="60"/>
      <c r="H119" s="624">
        <f>H118*1%+H118</f>
        <v>12080.408</v>
      </c>
      <c r="I119" s="52"/>
      <c r="J119" s="52"/>
      <c r="K119" s="61"/>
      <c r="L119" s="59">
        <f>B119+F119+G119+H119</f>
        <v>2787720.19</v>
      </c>
      <c r="N119" s="218" t="e">
        <f>C119+#REF!+C156</f>
        <v>#REF!</v>
      </c>
      <c r="O119" s="218" t="e">
        <f>D119+#REF!+D156</f>
        <v>#REF!</v>
      </c>
      <c r="P119" s="219"/>
    </row>
    <row r="120" spans="1:16" ht="23.25" customHeight="1" thickBot="1">
      <c r="A120" s="40">
        <v>2019</v>
      </c>
      <c r="B120" s="52">
        <f t="shared" si="4"/>
        <v>2803396.17982</v>
      </c>
      <c r="C120" s="52">
        <f t="shared" si="4"/>
        <v>2377729.05584</v>
      </c>
      <c r="D120" s="52">
        <f t="shared" si="4"/>
        <v>410158.33966</v>
      </c>
      <c r="E120" s="60"/>
      <c r="F120" s="60"/>
      <c r="G120" s="60"/>
      <c r="H120" s="624">
        <f>H119*1%+H119</f>
        <v>12201.21208</v>
      </c>
      <c r="I120" s="52"/>
      <c r="J120" s="52"/>
      <c r="K120" s="61"/>
      <c r="L120" s="59">
        <f>B120+F120+G120+H120</f>
        <v>2815597.3919</v>
      </c>
      <c r="N120" s="218" t="e">
        <f>C120+#REF!+C157</f>
        <v>#REF!</v>
      </c>
      <c r="O120" s="218" t="e">
        <f>D120+#REF!+D157</f>
        <v>#REF!</v>
      </c>
      <c r="P120" s="219"/>
    </row>
    <row r="121" ht="12"/>
    <row r="122" ht="12">
      <c r="A122" s="41" t="s">
        <v>135</v>
      </c>
    </row>
    <row r="123" spans="1:11" ht="27.75" customHeight="1" thickBot="1">
      <c r="A123" s="949" t="s">
        <v>384</v>
      </c>
      <c r="B123" s="950"/>
      <c r="C123" s="950"/>
      <c r="D123" s="950"/>
      <c r="E123" s="950"/>
      <c r="F123" s="950"/>
      <c r="G123" s="950"/>
      <c r="H123" s="950"/>
      <c r="I123" s="950"/>
      <c r="J123" s="950"/>
      <c r="K123" s="950"/>
    </row>
    <row r="124" spans="1:10" ht="36.75" customHeight="1" thickBot="1">
      <c r="A124" s="927" t="s">
        <v>103</v>
      </c>
      <c r="B124" s="930" t="s">
        <v>110</v>
      </c>
      <c r="C124" s="931"/>
      <c r="D124" s="932"/>
      <c r="E124" s="939" t="s">
        <v>106</v>
      </c>
      <c r="F124" s="939" t="s">
        <v>108</v>
      </c>
      <c r="G124" s="942" t="s">
        <v>107</v>
      </c>
      <c r="H124" s="943"/>
      <c r="I124" s="943"/>
      <c r="J124" s="944"/>
    </row>
    <row r="125" spans="1:10" ht="13.5" customHeight="1" thickBot="1">
      <c r="A125" s="928"/>
      <c r="B125" s="933"/>
      <c r="C125" s="934"/>
      <c r="D125" s="935"/>
      <c r="E125" s="940"/>
      <c r="F125" s="941"/>
      <c r="G125" s="54"/>
      <c r="H125" s="942" t="s">
        <v>109</v>
      </c>
      <c r="I125" s="943"/>
      <c r="J125" s="944"/>
    </row>
    <row r="126" spans="1:10" ht="12.75" thickBot="1">
      <c r="A126" s="929"/>
      <c r="B126" s="936"/>
      <c r="C126" s="937"/>
      <c r="D126" s="938"/>
      <c r="E126" s="941"/>
      <c r="F126" s="53">
        <v>2016</v>
      </c>
      <c r="G126" s="53">
        <v>2017</v>
      </c>
      <c r="H126" s="53">
        <v>2018</v>
      </c>
      <c r="I126" s="53">
        <v>2019</v>
      </c>
      <c r="J126" s="53">
        <v>2020</v>
      </c>
    </row>
    <row r="127" spans="1:10" ht="92.25" customHeight="1">
      <c r="A127" s="42" t="s">
        <v>245</v>
      </c>
      <c r="B127" s="954" t="s">
        <v>247</v>
      </c>
      <c r="C127" s="955"/>
      <c r="D127" s="956"/>
      <c r="E127" s="63" t="s">
        <v>246</v>
      </c>
      <c r="F127" s="64">
        <v>137951</v>
      </c>
      <c r="G127" s="64">
        <v>107073</v>
      </c>
      <c r="H127" s="64" t="s">
        <v>411</v>
      </c>
      <c r="I127" s="64" t="s">
        <v>407</v>
      </c>
      <c r="J127" s="64" t="s">
        <v>407</v>
      </c>
    </row>
    <row r="128" spans="1:10" ht="126.75" customHeight="1">
      <c r="A128" s="43" t="s">
        <v>169</v>
      </c>
      <c r="B128" s="951" t="s">
        <v>248</v>
      </c>
      <c r="C128" s="952"/>
      <c r="D128" s="953"/>
      <c r="E128" s="67" t="s">
        <v>192</v>
      </c>
      <c r="F128" s="68">
        <v>3053</v>
      </c>
      <c r="G128" s="68">
        <v>4000</v>
      </c>
      <c r="H128" s="68">
        <v>4000</v>
      </c>
      <c r="I128" s="68">
        <v>4000</v>
      </c>
      <c r="J128" s="68">
        <v>4000</v>
      </c>
    </row>
    <row r="129" spans="1:10" ht="96.75" customHeight="1" thickBot="1">
      <c r="A129" s="44" t="s">
        <v>171</v>
      </c>
      <c r="B129" s="951" t="s">
        <v>248</v>
      </c>
      <c r="C129" s="952"/>
      <c r="D129" s="953"/>
      <c r="E129" s="71" t="s">
        <v>149</v>
      </c>
      <c r="F129" s="72">
        <v>84.8</v>
      </c>
      <c r="G129" s="72">
        <v>84.8</v>
      </c>
      <c r="H129" s="72">
        <v>84.8</v>
      </c>
      <c r="I129" s="72">
        <v>84.8</v>
      </c>
      <c r="J129" s="72">
        <v>84.8</v>
      </c>
    </row>
    <row r="130" ht="12"/>
    <row r="131" ht="12">
      <c r="A131" s="41" t="s">
        <v>135</v>
      </c>
    </row>
    <row r="132" spans="1:11" ht="54" customHeight="1" thickBot="1">
      <c r="A132" s="949" t="s">
        <v>384</v>
      </c>
      <c r="B132" s="950"/>
      <c r="C132" s="950"/>
      <c r="D132" s="950"/>
      <c r="E132" s="950"/>
      <c r="F132" s="950"/>
      <c r="G132" s="950"/>
      <c r="H132" s="950"/>
      <c r="I132" s="950"/>
      <c r="J132" s="950"/>
      <c r="K132" s="950"/>
    </row>
    <row r="133" spans="1:10" ht="36.75" customHeight="1" thickBot="1">
      <c r="A133" s="927" t="s">
        <v>103</v>
      </c>
      <c r="B133" s="930" t="s">
        <v>110</v>
      </c>
      <c r="C133" s="931"/>
      <c r="D133" s="932"/>
      <c r="E133" s="939" t="s">
        <v>106</v>
      </c>
      <c r="F133" s="939" t="s">
        <v>108</v>
      </c>
      <c r="G133" s="942" t="s">
        <v>107</v>
      </c>
      <c r="H133" s="943"/>
      <c r="I133" s="943"/>
      <c r="J133" s="944"/>
    </row>
    <row r="134" spans="1:10" ht="13.5" customHeight="1" thickBot="1">
      <c r="A134" s="928"/>
      <c r="B134" s="933"/>
      <c r="C134" s="934"/>
      <c r="D134" s="935"/>
      <c r="E134" s="940"/>
      <c r="F134" s="941"/>
      <c r="G134" s="54"/>
      <c r="H134" s="942" t="s">
        <v>109</v>
      </c>
      <c r="I134" s="943"/>
      <c r="J134" s="944"/>
    </row>
    <row r="135" spans="1:10" ht="12.75" thickBot="1">
      <c r="A135" s="929"/>
      <c r="B135" s="936"/>
      <c r="C135" s="937"/>
      <c r="D135" s="938"/>
      <c r="E135" s="941"/>
      <c r="F135" s="53">
        <v>2016</v>
      </c>
      <c r="G135" s="53">
        <v>2017</v>
      </c>
      <c r="H135" s="53">
        <v>2018</v>
      </c>
      <c r="I135" s="53">
        <v>2019</v>
      </c>
      <c r="J135" s="53">
        <v>2020</v>
      </c>
    </row>
    <row r="136" spans="1:10" ht="69" customHeight="1" thickBot="1">
      <c r="A136" s="42" t="s">
        <v>249</v>
      </c>
      <c r="B136" s="954" t="s">
        <v>250</v>
      </c>
      <c r="C136" s="955"/>
      <c r="D136" s="956"/>
      <c r="E136" s="63" t="s">
        <v>192</v>
      </c>
      <c r="F136" s="64">
        <v>1062</v>
      </c>
      <c r="G136" s="64">
        <v>1186</v>
      </c>
      <c r="H136" s="65">
        <v>1296</v>
      </c>
      <c r="I136" s="65">
        <v>1296</v>
      </c>
      <c r="J136" s="65">
        <v>1296</v>
      </c>
    </row>
    <row r="137" spans="1:10" ht="60.75" customHeight="1" thickBot="1">
      <c r="A137" s="43" t="s">
        <v>251</v>
      </c>
      <c r="B137" s="954" t="s">
        <v>250</v>
      </c>
      <c r="C137" s="955"/>
      <c r="D137" s="956"/>
      <c r="E137" s="71" t="s">
        <v>149</v>
      </c>
      <c r="F137" s="614">
        <v>89.8</v>
      </c>
      <c r="G137" s="614">
        <v>90</v>
      </c>
      <c r="H137" s="614">
        <v>90</v>
      </c>
      <c r="I137" s="614">
        <v>100</v>
      </c>
      <c r="J137" s="614">
        <v>100</v>
      </c>
    </row>
    <row r="138" spans="1:10" ht="35.25" customHeight="1" thickBot="1">
      <c r="A138" s="44" t="s">
        <v>176</v>
      </c>
      <c r="B138" s="954" t="s">
        <v>250</v>
      </c>
      <c r="C138" s="955"/>
      <c r="D138" s="956"/>
      <c r="E138" s="71" t="s">
        <v>246</v>
      </c>
      <c r="F138" s="72">
        <v>3546</v>
      </c>
      <c r="G138" s="72">
        <v>175</v>
      </c>
      <c r="H138" s="73">
        <v>175</v>
      </c>
      <c r="I138" s="73">
        <v>175</v>
      </c>
      <c r="J138" s="73">
        <v>175</v>
      </c>
    </row>
    <row r="139" ht="12"/>
    <row r="140" ht="12"/>
    <row r="141" ht="24" customHeight="1" thickBot="1">
      <c r="A141" s="32">
        <v>3</v>
      </c>
    </row>
    <row r="142" spans="1:12" ht="24" customHeight="1" thickBot="1">
      <c r="A142" s="33" t="s">
        <v>126</v>
      </c>
      <c r="B142" s="959" t="s">
        <v>242</v>
      </c>
      <c r="C142" s="950"/>
      <c r="D142" s="950"/>
      <c r="E142" s="950"/>
      <c r="F142" s="950"/>
      <c r="G142" s="950"/>
      <c r="H142" s="950"/>
      <c r="I142" s="950"/>
      <c r="J142" s="950"/>
      <c r="K142" s="950"/>
      <c r="L142" s="950"/>
    </row>
    <row r="143" spans="1:12" ht="20.25" customHeight="1" thickBot="1">
      <c r="A143" s="34" t="s">
        <v>127</v>
      </c>
      <c r="B143" s="949" t="s">
        <v>406</v>
      </c>
      <c r="C143" s="950"/>
      <c r="D143" s="950"/>
      <c r="E143" s="950"/>
      <c r="F143" s="950"/>
      <c r="G143" s="950"/>
      <c r="H143" s="950"/>
      <c r="I143" s="950"/>
      <c r="J143" s="950"/>
      <c r="K143" s="950"/>
      <c r="L143" s="950"/>
    </row>
    <row r="144" spans="1:12" ht="28.5" customHeight="1" thickBot="1">
      <c r="A144" s="35" t="s">
        <v>128</v>
      </c>
      <c r="B144" s="949" t="s">
        <v>385</v>
      </c>
      <c r="C144" s="957"/>
      <c r="D144" s="957"/>
      <c r="E144" s="957"/>
      <c r="F144" s="957"/>
      <c r="G144" s="957"/>
      <c r="H144" s="957"/>
      <c r="I144" s="957"/>
      <c r="J144" s="957"/>
      <c r="K144" s="957"/>
      <c r="L144" s="957"/>
    </row>
    <row r="145" spans="1:12" ht="29.25" customHeight="1" thickBot="1">
      <c r="A145" s="36" t="s">
        <v>104</v>
      </c>
      <c r="B145" s="958" t="s">
        <v>252</v>
      </c>
      <c r="C145" s="958"/>
      <c r="D145" s="958"/>
      <c r="E145" s="958"/>
      <c r="F145" s="958"/>
      <c r="G145" s="958"/>
      <c r="H145" s="958"/>
      <c r="I145" s="958"/>
      <c r="J145" s="958"/>
      <c r="K145" s="958"/>
      <c r="L145" s="959"/>
    </row>
    <row r="146" spans="1:12" s="37" customFormat="1" ht="44.25" customHeight="1" thickBot="1">
      <c r="A146" s="34" t="s">
        <v>130</v>
      </c>
      <c r="B146" s="47" t="s">
        <v>243</v>
      </c>
      <c r="C146" s="960" t="s">
        <v>131</v>
      </c>
      <c r="D146" s="961"/>
      <c r="E146" s="56"/>
      <c r="F146" s="962" t="s">
        <v>132</v>
      </c>
      <c r="G146" s="952"/>
      <c r="H146" s="952"/>
      <c r="I146" s="963"/>
      <c r="J146" s="967" t="s">
        <v>133</v>
      </c>
      <c r="K146" s="967"/>
      <c r="L146" s="967"/>
    </row>
    <row r="147" spans="1:12" ht="81.75" customHeight="1" thickBot="1">
      <c r="A147" s="34" t="s">
        <v>134</v>
      </c>
      <c r="B147" s="968" t="s">
        <v>386</v>
      </c>
      <c r="C147" s="969"/>
      <c r="D147" s="969"/>
      <c r="E147" s="969"/>
      <c r="F147" s="969"/>
      <c r="G147" s="969"/>
      <c r="H147" s="969"/>
      <c r="I147" s="969"/>
      <c r="J147" s="969"/>
      <c r="K147" s="969"/>
      <c r="L147" s="969"/>
    </row>
    <row r="148" spans="1:12" ht="51" customHeight="1" thickBot="1">
      <c r="A148" s="34" t="s">
        <v>129</v>
      </c>
      <c r="B148" s="970" t="s">
        <v>426</v>
      </c>
      <c r="C148" s="971"/>
      <c r="D148" s="971"/>
      <c r="E148" s="971"/>
      <c r="F148" s="971"/>
      <c r="G148" s="971"/>
      <c r="H148" s="971"/>
      <c r="I148" s="971"/>
      <c r="J148" s="971"/>
      <c r="K148" s="971"/>
      <c r="L148" s="971"/>
    </row>
    <row r="149" ht="20.25" customHeight="1"/>
    <row r="150" ht="20.25" customHeight="1">
      <c r="A150" s="38" t="s">
        <v>125</v>
      </c>
    </row>
    <row r="151" spans="1:15" ht="36" customHeight="1" thickBot="1">
      <c r="A151" s="949" t="s">
        <v>385</v>
      </c>
      <c r="B151" s="957"/>
      <c r="C151" s="957"/>
      <c r="D151" s="957"/>
      <c r="E151" s="957"/>
      <c r="F151" s="957"/>
      <c r="G151" s="957"/>
      <c r="H151" s="957"/>
      <c r="I151" s="957"/>
      <c r="J151" s="957"/>
      <c r="K151" s="957"/>
      <c r="L151" s="57" t="s">
        <v>138</v>
      </c>
      <c r="M151" s="226"/>
      <c r="N151" s="226"/>
      <c r="O151" s="226"/>
    </row>
    <row r="152" spans="1:15" ht="13.5" customHeight="1" thickBot="1">
      <c r="A152" s="927" t="s">
        <v>244</v>
      </c>
      <c r="B152" s="964" t="s">
        <v>119</v>
      </c>
      <c r="C152" s="965"/>
      <c r="D152" s="965"/>
      <c r="E152" s="965"/>
      <c r="F152" s="939" t="s">
        <v>120</v>
      </c>
      <c r="G152" s="939" t="s">
        <v>121</v>
      </c>
      <c r="H152" s="942" t="s">
        <v>122</v>
      </c>
      <c r="I152" s="943"/>
      <c r="J152" s="943"/>
      <c r="K152" s="943"/>
      <c r="L152" s="945" t="s">
        <v>124</v>
      </c>
      <c r="M152" s="226"/>
      <c r="N152" s="226"/>
      <c r="O152" s="226"/>
    </row>
    <row r="153" spans="1:15" ht="13.5" customHeight="1" thickBot="1">
      <c r="A153" s="928"/>
      <c r="B153" s="48"/>
      <c r="C153" s="947" t="s">
        <v>117</v>
      </c>
      <c r="D153" s="948"/>
      <c r="E153" s="930" t="s">
        <v>123</v>
      </c>
      <c r="F153" s="940"/>
      <c r="G153" s="940"/>
      <c r="H153" s="930" t="s">
        <v>112</v>
      </c>
      <c r="I153" s="947" t="s">
        <v>117</v>
      </c>
      <c r="J153" s="948"/>
      <c r="K153" s="930" t="s">
        <v>123</v>
      </c>
      <c r="L153" s="946"/>
      <c r="M153" s="226"/>
      <c r="N153" s="226" t="s">
        <v>75</v>
      </c>
      <c r="O153" s="226"/>
    </row>
    <row r="154" spans="1:15" ht="43.5" customHeight="1" thickBot="1">
      <c r="A154" s="929"/>
      <c r="B154" s="49" t="s">
        <v>112</v>
      </c>
      <c r="C154" s="50" t="s">
        <v>116</v>
      </c>
      <c r="D154" s="51" t="s">
        <v>118</v>
      </c>
      <c r="E154" s="936"/>
      <c r="F154" s="941"/>
      <c r="G154" s="941"/>
      <c r="H154" s="941"/>
      <c r="I154" s="50" t="s">
        <v>116</v>
      </c>
      <c r="J154" s="51" t="s">
        <v>118</v>
      </c>
      <c r="K154" s="936"/>
      <c r="L154" s="946"/>
      <c r="M154" s="226" t="s">
        <v>73</v>
      </c>
      <c r="N154" s="226" t="s">
        <v>74</v>
      </c>
      <c r="O154" s="226" t="s">
        <v>72</v>
      </c>
    </row>
    <row r="155" spans="1:15" ht="20.25" customHeight="1" thickBot="1">
      <c r="A155" s="39">
        <v>2017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8"/>
      <c r="L155" s="59">
        <f>B155+F155+G155+H155</f>
        <v>0</v>
      </c>
      <c r="M155" s="227" t="e">
        <f>C155+C118+#REF!</f>
        <v>#REF!</v>
      </c>
      <c r="N155" s="227" t="e">
        <f>D155+D118+#REF!</f>
        <v>#REF!</v>
      </c>
      <c r="O155" s="227" t="e">
        <f>#REF!+B118+B155</f>
        <v>#REF!</v>
      </c>
    </row>
    <row r="156" spans="1:15" ht="21.75" customHeight="1" thickBot="1">
      <c r="A156" s="39">
        <v>2018</v>
      </c>
      <c r="B156" s="52"/>
      <c r="C156" s="52"/>
      <c r="D156" s="52"/>
      <c r="E156" s="60"/>
      <c r="F156" s="60"/>
      <c r="G156" s="60"/>
      <c r="H156" s="52">
        <f>H155*1%+H155</f>
        <v>0</v>
      </c>
      <c r="I156" s="52"/>
      <c r="J156" s="52"/>
      <c r="K156" s="61"/>
      <c r="L156" s="59">
        <f>B156+F156+G156+H156</f>
        <v>0</v>
      </c>
      <c r="M156" s="227" t="e">
        <f>C156+C119+#REF!</f>
        <v>#REF!</v>
      </c>
      <c r="N156" s="227" t="e">
        <f>D156+D119+#REF!</f>
        <v>#REF!</v>
      </c>
      <c r="O156" s="227" t="e">
        <f>#REF!+B119+B156</f>
        <v>#REF!</v>
      </c>
    </row>
    <row r="157" spans="1:15" ht="23.25" customHeight="1" thickBot="1">
      <c r="A157" s="40">
        <v>2019</v>
      </c>
      <c r="B157" s="52"/>
      <c r="C157" s="52"/>
      <c r="D157" s="52"/>
      <c r="E157" s="62"/>
      <c r="F157" s="62"/>
      <c r="G157" s="62"/>
      <c r="H157" s="52">
        <f>H156*1%+H156</f>
        <v>0</v>
      </c>
      <c r="I157" s="52"/>
      <c r="J157" s="52"/>
      <c r="K157" s="61"/>
      <c r="L157" s="59">
        <f>B157+F157+G157+H157</f>
        <v>0</v>
      </c>
      <c r="M157" s="227" t="e">
        <f>C157+C120+#REF!</f>
        <v>#REF!</v>
      </c>
      <c r="N157" s="227" t="e">
        <f>D157+D120+#REF!</f>
        <v>#REF!</v>
      </c>
      <c r="O157" s="227" t="e">
        <f>#REF!+B120+B157</f>
        <v>#REF!</v>
      </c>
    </row>
    <row r="158" spans="13:15" ht="12">
      <c r="M158" s="226"/>
      <c r="N158" s="226"/>
      <c r="O158" s="226"/>
    </row>
    <row r="159" spans="1:15" ht="12">
      <c r="A159" s="41" t="s">
        <v>135</v>
      </c>
      <c r="M159" s="226"/>
      <c r="N159" s="226"/>
      <c r="O159" s="226"/>
    </row>
    <row r="160" spans="1:15" ht="27.75" customHeight="1" thickBot="1">
      <c r="A160" s="949" t="s">
        <v>385</v>
      </c>
      <c r="B160" s="957"/>
      <c r="C160" s="957"/>
      <c r="D160" s="957"/>
      <c r="E160" s="957"/>
      <c r="F160" s="957"/>
      <c r="G160" s="957"/>
      <c r="H160" s="957"/>
      <c r="I160" s="957"/>
      <c r="J160" s="957"/>
      <c r="K160" s="957"/>
      <c r="M160" s="226"/>
      <c r="N160" s="226"/>
      <c r="O160" s="226"/>
    </row>
    <row r="161" spans="1:15" ht="36.75" customHeight="1" thickBot="1">
      <c r="A161" s="927" t="s">
        <v>103</v>
      </c>
      <c r="B161" s="930" t="s">
        <v>110</v>
      </c>
      <c r="C161" s="931"/>
      <c r="D161" s="932"/>
      <c r="E161" s="939" t="s">
        <v>106</v>
      </c>
      <c r="F161" s="939" t="s">
        <v>108</v>
      </c>
      <c r="G161" s="942" t="s">
        <v>107</v>
      </c>
      <c r="H161" s="943"/>
      <c r="I161" s="943"/>
      <c r="J161" s="944"/>
      <c r="M161" s="226"/>
      <c r="N161" s="226"/>
      <c r="O161" s="226"/>
    </row>
    <row r="162" spans="1:10" ht="13.5" customHeight="1" thickBot="1">
      <c r="A162" s="928"/>
      <c r="B162" s="933"/>
      <c r="C162" s="934"/>
      <c r="D162" s="935"/>
      <c r="E162" s="940"/>
      <c r="F162" s="941"/>
      <c r="G162" s="54"/>
      <c r="H162" s="942" t="s">
        <v>109</v>
      </c>
      <c r="I162" s="943"/>
      <c r="J162" s="944"/>
    </row>
    <row r="163" spans="1:10" ht="12.75" thickBot="1">
      <c r="A163" s="929"/>
      <c r="B163" s="936"/>
      <c r="C163" s="937"/>
      <c r="D163" s="938"/>
      <c r="E163" s="941"/>
      <c r="F163" s="53">
        <v>2016</v>
      </c>
      <c r="G163" s="53">
        <v>2017</v>
      </c>
      <c r="H163" s="53">
        <v>2018</v>
      </c>
      <c r="I163" s="53">
        <v>2019</v>
      </c>
      <c r="J163" s="53">
        <v>2020</v>
      </c>
    </row>
    <row r="164" spans="1:10" ht="120.75" customHeight="1" thickBot="1">
      <c r="A164" s="42" t="s">
        <v>253</v>
      </c>
      <c r="B164" s="954" t="s">
        <v>250</v>
      </c>
      <c r="C164" s="955"/>
      <c r="D164" s="956"/>
      <c r="E164" s="63" t="s">
        <v>192</v>
      </c>
      <c r="F164" s="64">
        <v>5</v>
      </c>
      <c r="G164" s="64">
        <v>20</v>
      </c>
      <c r="H164" s="65">
        <v>100</v>
      </c>
      <c r="I164" s="66">
        <v>0</v>
      </c>
      <c r="J164" s="66">
        <v>0</v>
      </c>
    </row>
    <row r="165" spans="1:10" ht="60" customHeight="1" thickBot="1">
      <c r="A165" s="43" t="s">
        <v>179</v>
      </c>
      <c r="B165" s="954" t="s">
        <v>250</v>
      </c>
      <c r="C165" s="955"/>
      <c r="D165" s="956"/>
      <c r="E165" s="71" t="s">
        <v>246</v>
      </c>
      <c r="F165" s="68">
        <v>450</v>
      </c>
      <c r="G165" s="68" t="s">
        <v>183</v>
      </c>
      <c r="H165" s="68" t="s">
        <v>183</v>
      </c>
      <c r="I165" s="68" t="s">
        <v>183</v>
      </c>
      <c r="J165" s="68" t="s">
        <v>183</v>
      </c>
    </row>
    <row r="166" spans="1:10" ht="35.25" customHeight="1" thickBot="1">
      <c r="A166" s="44"/>
      <c r="B166" s="954"/>
      <c r="C166" s="955"/>
      <c r="D166" s="956"/>
      <c r="E166" s="71"/>
      <c r="F166" s="72"/>
      <c r="G166" s="72"/>
      <c r="H166" s="73"/>
      <c r="I166" s="74"/>
      <c r="J166" s="74"/>
    </row>
    <row r="167" ht="12"/>
    <row r="168" ht="12"/>
    <row r="169" ht="12"/>
    <row r="170" ht="12">
      <c r="A170" s="41" t="s">
        <v>135</v>
      </c>
    </row>
    <row r="171" spans="1:11" ht="27.75" customHeight="1" thickBot="1">
      <c r="A171" s="949" t="s">
        <v>6</v>
      </c>
      <c r="B171" s="950"/>
      <c r="C171" s="950"/>
      <c r="D171" s="950"/>
      <c r="E171" s="950"/>
      <c r="F171" s="950"/>
      <c r="G171" s="950"/>
      <c r="H171" s="950"/>
      <c r="I171" s="950"/>
      <c r="J171" s="950"/>
      <c r="K171" s="950"/>
    </row>
    <row r="172" spans="1:10" ht="36.75" customHeight="1" thickBot="1">
      <c r="A172" s="927" t="s">
        <v>103</v>
      </c>
      <c r="B172" s="930" t="s">
        <v>110</v>
      </c>
      <c r="C172" s="931"/>
      <c r="D172" s="932"/>
      <c r="E172" s="939" t="s">
        <v>106</v>
      </c>
      <c r="F172" s="939" t="s">
        <v>108</v>
      </c>
      <c r="G172" s="942" t="s">
        <v>107</v>
      </c>
      <c r="H172" s="943"/>
      <c r="I172" s="943"/>
      <c r="J172" s="944"/>
    </row>
    <row r="173" spans="1:10" ht="13.5" customHeight="1" thickBot="1">
      <c r="A173" s="928"/>
      <c r="B173" s="933"/>
      <c r="C173" s="934"/>
      <c r="D173" s="935"/>
      <c r="E173" s="940"/>
      <c r="F173" s="941"/>
      <c r="G173" s="54"/>
      <c r="H173" s="942" t="s">
        <v>109</v>
      </c>
      <c r="I173" s="943"/>
      <c r="J173" s="944"/>
    </row>
    <row r="174" spans="1:10" ht="12.75" thickBot="1">
      <c r="A174" s="929"/>
      <c r="B174" s="936"/>
      <c r="C174" s="937"/>
      <c r="D174" s="938"/>
      <c r="E174" s="941"/>
      <c r="F174" s="53">
        <v>2016</v>
      </c>
      <c r="G174" s="53">
        <v>2017</v>
      </c>
      <c r="H174" s="53">
        <v>2018</v>
      </c>
      <c r="I174" s="53">
        <v>2019</v>
      </c>
      <c r="J174" s="53">
        <v>2020</v>
      </c>
    </row>
    <row r="175" spans="1:10" ht="31.5" customHeight="1" thickBot="1">
      <c r="A175" s="42" t="s">
        <v>254</v>
      </c>
      <c r="B175" s="954" t="s">
        <v>255</v>
      </c>
      <c r="C175" s="955"/>
      <c r="D175" s="956"/>
      <c r="E175" s="63" t="s">
        <v>192</v>
      </c>
      <c r="F175" s="64">
        <v>130</v>
      </c>
      <c r="G175" s="64">
        <v>140</v>
      </c>
      <c r="H175" s="65" t="s">
        <v>183</v>
      </c>
      <c r="I175" s="66" t="s">
        <v>183</v>
      </c>
      <c r="J175" s="66" t="s">
        <v>183</v>
      </c>
    </row>
    <row r="176" spans="1:10" ht="36.75" customHeight="1" thickBot="1">
      <c r="A176" s="43" t="s">
        <v>184</v>
      </c>
      <c r="B176" s="954" t="s">
        <v>256</v>
      </c>
      <c r="C176" s="955"/>
      <c r="D176" s="956"/>
      <c r="E176" s="71" t="s">
        <v>149</v>
      </c>
      <c r="F176" s="68">
        <v>18</v>
      </c>
      <c r="G176" s="68">
        <v>19.9</v>
      </c>
      <c r="H176" s="65">
        <v>22.4</v>
      </c>
      <c r="I176" s="66" t="s">
        <v>183</v>
      </c>
      <c r="J176" s="66" t="s">
        <v>183</v>
      </c>
    </row>
    <row r="177" spans="1:10" ht="35.25" customHeight="1" thickBot="1">
      <c r="A177" s="44"/>
      <c r="B177" s="954"/>
      <c r="C177" s="955"/>
      <c r="D177" s="956"/>
      <c r="E177" s="71"/>
      <c r="F177" s="72"/>
      <c r="G177" s="72"/>
      <c r="H177" s="73"/>
      <c r="I177" s="74"/>
      <c r="J177" s="74"/>
    </row>
    <row r="178" ht="12"/>
    <row r="179" ht="12"/>
    <row r="180" ht="24" customHeight="1" thickBot="1">
      <c r="A180" s="32">
        <v>5</v>
      </c>
    </row>
    <row r="181" spans="1:12" ht="24" customHeight="1" thickBot="1">
      <c r="A181" s="33" t="s">
        <v>126</v>
      </c>
      <c r="B181" s="959" t="s">
        <v>242</v>
      </c>
      <c r="C181" s="950"/>
      <c r="D181" s="950"/>
      <c r="E181" s="950"/>
      <c r="F181" s="950"/>
      <c r="G181" s="950"/>
      <c r="H181" s="950"/>
      <c r="I181" s="950"/>
      <c r="J181" s="950"/>
      <c r="K181" s="950"/>
      <c r="L181" s="950"/>
    </row>
    <row r="182" spans="1:12" ht="20.25" customHeight="1" thickBot="1">
      <c r="A182" s="34" t="s">
        <v>127</v>
      </c>
      <c r="B182" s="949" t="s">
        <v>418</v>
      </c>
      <c r="C182" s="950"/>
      <c r="D182" s="950"/>
      <c r="E182" s="950"/>
      <c r="F182" s="950"/>
      <c r="G182" s="950"/>
      <c r="H182" s="950"/>
      <c r="I182" s="950"/>
      <c r="J182" s="950"/>
      <c r="K182" s="950"/>
      <c r="L182" s="950"/>
    </row>
    <row r="183" spans="1:12" ht="28.5" customHeight="1" thickBot="1">
      <c r="A183" s="35" t="s">
        <v>128</v>
      </c>
      <c r="B183" s="949" t="s">
        <v>7</v>
      </c>
      <c r="C183" s="950"/>
      <c r="D183" s="950"/>
      <c r="E183" s="950"/>
      <c r="F183" s="950"/>
      <c r="G183" s="950"/>
      <c r="H183" s="950"/>
      <c r="I183" s="950"/>
      <c r="J183" s="950"/>
      <c r="K183" s="950"/>
      <c r="L183" s="950"/>
    </row>
    <row r="184" spans="1:12" ht="29.25" customHeight="1" thickBot="1">
      <c r="A184" s="36" t="s">
        <v>104</v>
      </c>
      <c r="B184" s="958" t="s">
        <v>259</v>
      </c>
      <c r="C184" s="958"/>
      <c r="D184" s="958"/>
      <c r="E184" s="958"/>
      <c r="F184" s="958"/>
      <c r="G184" s="958"/>
      <c r="H184" s="958"/>
      <c r="I184" s="958"/>
      <c r="J184" s="958"/>
      <c r="K184" s="958"/>
      <c r="L184" s="959"/>
    </row>
    <row r="185" spans="1:12" s="37" customFormat="1" ht="39" customHeight="1" thickBot="1">
      <c r="A185" s="34" t="s">
        <v>130</v>
      </c>
      <c r="B185" s="47" t="s">
        <v>243</v>
      </c>
      <c r="C185" s="960" t="s">
        <v>131</v>
      </c>
      <c r="D185" s="961"/>
      <c r="E185" s="56"/>
      <c r="F185" s="962" t="s">
        <v>132</v>
      </c>
      <c r="G185" s="952"/>
      <c r="H185" s="952"/>
      <c r="I185" s="963"/>
      <c r="J185" s="967" t="s">
        <v>133</v>
      </c>
      <c r="K185" s="967"/>
      <c r="L185" s="967"/>
    </row>
    <row r="186" spans="1:12" ht="65.25" customHeight="1" thickBot="1">
      <c r="A186" s="34" t="s">
        <v>134</v>
      </c>
      <c r="B186" s="968" t="s">
        <v>257</v>
      </c>
      <c r="C186" s="969"/>
      <c r="D186" s="969"/>
      <c r="E186" s="969"/>
      <c r="F186" s="969"/>
      <c r="G186" s="969"/>
      <c r="H186" s="969"/>
      <c r="I186" s="969"/>
      <c r="J186" s="969"/>
      <c r="K186" s="969"/>
      <c r="L186" s="969"/>
    </row>
    <row r="187" spans="1:12" ht="51" customHeight="1" thickBot="1">
      <c r="A187" s="34" t="s">
        <v>129</v>
      </c>
      <c r="B187" s="970" t="s">
        <v>426</v>
      </c>
      <c r="C187" s="971"/>
      <c r="D187" s="971"/>
      <c r="E187" s="971"/>
      <c r="F187" s="971"/>
      <c r="G187" s="971"/>
      <c r="H187" s="971"/>
      <c r="I187" s="971"/>
      <c r="J187" s="971"/>
      <c r="K187" s="971"/>
      <c r="L187" s="971"/>
    </row>
    <row r="188" ht="20.25" customHeight="1"/>
    <row r="189" ht="20.25" customHeight="1">
      <c r="A189" s="38" t="s">
        <v>125</v>
      </c>
    </row>
    <row r="190" spans="1:12" ht="36" customHeight="1" thickBot="1">
      <c r="A190" s="949" t="s">
        <v>7</v>
      </c>
      <c r="B190" s="950"/>
      <c r="C190" s="950"/>
      <c r="D190" s="950"/>
      <c r="E190" s="950"/>
      <c r="F190" s="950"/>
      <c r="G190" s="950"/>
      <c r="H190" s="950"/>
      <c r="I190" s="950"/>
      <c r="J190" s="950"/>
      <c r="K190" s="950"/>
      <c r="L190" s="57" t="s">
        <v>138</v>
      </c>
    </row>
    <row r="191" spans="1:12" ht="13.5" customHeight="1" thickBot="1">
      <c r="A191" s="927" t="s">
        <v>4</v>
      </c>
      <c r="B191" s="964" t="s">
        <v>119</v>
      </c>
      <c r="C191" s="965"/>
      <c r="D191" s="965"/>
      <c r="E191" s="965"/>
      <c r="F191" s="939" t="s">
        <v>120</v>
      </c>
      <c r="G191" s="939" t="s">
        <v>121</v>
      </c>
      <c r="H191" s="942" t="s">
        <v>122</v>
      </c>
      <c r="I191" s="943"/>
      <c r="J191" s="943"/>
      <c r="K191" s="943"/>
      <c r="L191" s="945" t="s">
        <v>124</v>
      </c>
    </row>
    <row r="192" spans="1:12" ht="13.5" customHeight="1" thickBot="1">
      <c r="A192" s="928"/>
      <c r="B192" s="48"/>
      <c r="C192" s="947" t="s">
        <v>117</v>
      </c>
      <c r="D192" s="948"/>
      <c r="E192" s="930" t="s">
        <v>123</v>
      </c>
      <c r="F192" s="940"/>
      <c r="G192" s="940"/>
      <c r="H192" s="930" t="s">
        <v>112</v>
      </c>
      <c r="I192" s="947" t="s">
        <v>117</v>
      </c>
      <c r="J192" s="948"/>
      <c r="K192" s="930" t="s">
        <v>123</v>
      </c>
      <c r="L192" s="946"/>
    </row>
    <row r="193" spans="1:12" ht="43.5" customHeight="1" thickBot="1">
      <c r="A193" s="929"/>
      <c r="B193" s="49" t="s">
        <v>112</v>
      </c>
      <c r="C193" s="50" t="s">
        <v>116</v>
      </c>
      <c r="D193" s="51" t="s">
        <v>118</v>
      </c>
      <c r="E193" s="936"/>
      <c r="F193" s="941"/>
      <c r="G193" s="941"/>
      <c r="H193" s="941"/>
      <c r="I193" s="50" t="s">
        <v>116</v>
      </c>
      <c r="J193" s="51" t="s">
        <v>118</v>
      </c>
      <c r="K193" s="936"/>
      <c r="L193" s="946"/>
    </row>
    <row r="194" spans="1:19" ht="20.25" customHeight="1" thickBot="1">
      <c r="A194" s="39">
        <v>2017</v>
      </c>
      <c r="B194" s="615">
        <v>17617966.1</v>
      </c>
      <c r="C194" s="615">
        <v>14088398</v>
      </c>
      <c r="D194" s="615">
        <v>2430252.3</v>
      </c>
      <c r="E194" s="52"/>
      <c r="F194" s="52"/>
      <c r="G194" s="52"/>
      <c r="H194" s="625">
        <v>102913.7</v>
      </c>
      <c r="I194" s="52">
        <v>53846.3</v>
      </c>
      <c r="J194" s="52">
        <v>9418.6</v>
      </c>
      <c r="K194" s="58">
        <v>10237.9</v>
      </c>
      <c r="L194" s="59">
        <f>K194+H194+E194+B194+F194+G194</f>
        <v>17731117.700000003</v>
      </c>
      <c r="M194" s="219">
        <v>10409090.4</v>
      </c>
      <c r="N194" s="705"/>
      <c r="O194" s="218">
        <f aca="true" t="shared" si="5" ref="N194:O196">D194+D223</f>
        <v>2430252.3</v>
      </c>
      <c r="P194" s="218"/>
      <c r="Q194" s="218"/>
      <c r="R194" s="218"/>
      <c r="S194" s="219"/>
    </row>
    <row r="195" spans="1:19" ht="21.75" customHeight="1" thickBot="1">
      <c r="A195" s="39">
        <v>2018</v>
      </c>
      <c r="B195" s="615">
        <f aca="true" t="shared" si="6" ref="B195:D196">B194*1%+B194</f>
        <v>17794145.761</v>
      </c>
      <c r="C195" s="615">
        <f t="shared" si="6"/>
        <v>14229281.98</v>
      </c>
      <c r="D195" s="615">
        <f t="shared" si="6"/>
        <v>2454554.823</v>
      </c>
      <c r="E195" s="52"/>
      <c r="F195" s="52"/>
      <c r="G195" s="52"/>
      <c r="H195" s="52">
        <v>123398.1</v>
      </c>
      <c r="I195" s="52">
        <v>58605.5</v>
      </c>
      <c r="J195" s="52">
        <v>10240.7</v>
      </c>
      <c r="K195" s="52">
        <v>13408</v>
      </c>
      <c r="L195" s="59">
        <f>K195+H195+E195+B195+F195+G195</f>
        <v>17930951.861</v>
      </c>
      <c r="M195" s="219">
        <v>363000.4</v>
      </c>
      <c r="N195" s="218">
        <f t="shared" si="5"/>
        <v>14229281.98</v>
      </c>
      <c r="O195" s="218">
        <f t="shared" si="5"/>
        <v>2454554.823</v>
      </c>
      <c r="P195" s="218"/>
      <c r="Q195" s="218"/>
      <c r="R195" s="218"/>
      <c r="S195" s="219"/>
    </row>
    <row r="196" spans="1:19" ht="23.25" customHeight="1" thickBot="1">
      <c r="A196" s="40">
        <v>2019</v>
      </c>
      <c r="B196" s="615">
        <f t="shared" si="6"/>
        <v>17972087.21861</v>
      </c>
      <c r="C196" s="615">
        <f t="shared" si="6"/>
        <v>14371574.799800001</v>
      </c>
      <c r="D196" s="615">
        <f t="shared" si="6"/>
        <v>2479100.3712299997</v>
      </c>
      <c r="E196" s="52"/>
      <c r="F196" s="52"/>
      <c r="G196" s="52"/>
      <c r="H196" s="52">
        <v>124632</v>
      </c>
      <c r="I196" s="52">
        <v>59191.5</v>
      </c>
      <c r="J196" s="52">
        <v>10343.1</v>
      </c>
      <c r="K196" s="52">
        <v>13542</v>
      </c>
      <c r="L196" s="59">
        <f>K196+H196+E196+B196+F196+G196</f>
        <v>18110261.21861</v>
      </c>
      <c r="M196" s="218">
        <f>B196</f>
        <v>17972087.21861</v>
      </c>
      <c r="N196" s="218">
        <f t="shared" si="5"/>
        <v>14371574.799800001</v>
      </c>
      <c r="O196" s="218">
        <f t="shared" si="5"/>
        <v>2479100.3712299997</v>
      </c>
      <c r="P196" s="218"/>
      <c r="Q196" s="218"/>
      <c r="R196" s="218"/>
      <c r="S196" s="219"/>
    </row>
    <row r="197" spans="13:19" ht="12">
      <c r="M197" s="219"/>
      <c r="N197" s="219"/>
      <c r="O197" s="219"/>
      <c r="P197" s="219"/>
      <c r="Q197" s="219"/>
      <c r="R197" s="219"/>
      <c r="S197" s="219"/>
    </row>
    <row r="198" ht="12">
      <c r="A198" s="41" t="s">
        <v>135</v>
      </c>
    </row>
    <row r="199" spans="1:11" ht="27.75" customHeight="1" thickBot="1">
      <c r="A199" s="949" t="s">
        <v>7</v>
      </c>
      <c r="B199" s="950"/>
      <c r="C199" s="950"/>
      <c r="D199" s="950"/>
      <c r="E199" s="950"/>
      <c r="F199" s="950"/>
      <c r="G199" s="950"/>
      <c r="H199" s="950"/>
      <c r="I199" s="950"/>
      <c r="J199" s="950"/>
      <c r="K199" s="950"/>
    </row>
    <row r="200" spans="1:10" ht="36.75" customHeight="1" thickBot="1">
      <c r="A200" s="927" t="s">
        <v>103</v>
      </c>
      <c r="B200" s="930" t="s">
        <v>110</v>
      </c>
      <c r="C200" s="931"/>
      <c r="D200" s="932"/>
      <c r="E200" s="939" t="s">
        <v>106</v>
      </c>
      <c r="F200" s="939" t="s">
        <v>108</v>
      </c>
      <c r="G200" s="942" t="s">
        <v>107</v>
      </c>
      <c r="H200" s="943"/>
      <c r="I200" s="943"/>
      <c r="J200" s="944"/>
    </row>
    <row r="201" spans="1:10" ht="13.5" customHeight="1" thickBot="1">
      <c r="A201" s="928"/>
      <c r="B201" s="933"/>
      <c r="C201" s="934"/>
      <c r="D201" s="935"/>
      <c r="E201" s="940"/>
      <c r="F201" s="941"/>
      <c r="G201" s="54"/>
      <c r="H201" s="942" t="s">
        <v>109</v>
      </c>
      <c r="I201" s="943"/>
      <c r="J201" s="944"/>
    </row>
    <row r="202" spans="1:10" ht="12.75" thickBot="1">
      <c r="A202" s="929"/>
      <c r="B202" s="936"/>
      <c r="C202" s="937"/>
      <c r="D202" s="938"/>
      <c r="E202" s="941"/>
      <c r="F202" s="53">
        <v>2016</v>
      </c>
      <c r="G202" s="53">
        <v>2017</v>
      </c>
      <c r="H202" s="53">
        <v>2018</v>
      </c>
      <c r="I202" s="53">
        <v>2019</v>
      </c>
      <c r="J202" s="53">
        <v>2020</v>
      </c>
    </row>
    <row r="203" spans="1:10" ht="48" customHeight="1" thickBot="1">
      <c r="A203" s="43" t="s">
        <v>387</v>
      </c>
      <c r="B203" s="954" t="s">
        <v>258</v>
      </c>
      <c r="C203" s="955"/>
      <c r="D203" s="956"/>
      <c r="E203" s="71" t="s">
        <v>149</v>
      </c>
      <c r="F203" s="67" t="s">
        <v>186</v>
      </c>
      <c r="G203" s="67" t="s">
        <v>186</v>
      </c>
      <c r="H203" s="67" t="s">
        <v>186</v>
      </c>
      <c r="I203" s="67" t="s">
        <v>186</v>
      </c>
      <c r="J203" s="67" t="s">
        <v>186</v>
      </c>
    </row>
    <row r="204" spans="1:10" ht="66.75" customHeight="1" thickBot="1">
      <c r="A204" s="44" t="s">
        <v>388</v>
      </c>
      <c r="B204" s="954" t="s">
        <v>258</v>
      </c>
      <c r="C204" s="955"/>
      <c r="D204" s="956"/>
      <c r="E204" s="71" t="s">
        <v>149</v>
      </c>
      <c r="F204" s="72">
        <v>67</v>
      </c>
      <c r="G204" s="72">
        <v>69</v>
      </c>
      <c r="H204" s="73">
        <v>71</v>
      </c>
      <c r="I204" s="65">
        <v>71</v>
      </c>
      <c r="J204" s="65">
        <v>71</v>
      </c>
    </row>
    <row r="205" ht="12"/>
    <row r="206" ht="12"/>
    <row r="207" ht="12"/>
    <row r="208" ht="12"/>
    <row r="209" ht="24" customHeight="1" thickBot="1">
      <c r="A209" s="32">
        <v>7</v>
      </c>
    </row>
    <row r="210" spans="1:12" ht="24" customHeight="1" thickBot="1">
      <c r="A210" s="33" t="s">
        <v>126</v>
      </c>
      <c r="B210" s="959" t="s">
        <v>242</v>
      </c>
      <c r="C210" s="950"/>
      <c r="D210" s="950"/>
      <c r="E210" s="950"/>
      <c r="F210" s="950"/>
      <c r="G210" s="950"/>
      <c r="H210" s="950"/>
      <c r="I210" s="950"/>
      <c r="J210" s="950"/>
      <c r="K210" s="950"/>
      <c r="L210" s="950"/>
    </row>
    <row r="211" spans="1:12" ht="20.25" customHeight="1" thickBot="1">
      <c r="A211" s="34" t="s">
        <v>127</v>
      </c>
      <c r="B211" s="949" t="s">
        <v>418</v>
      </c>
      <c r="C211" s="950"/>
      <c r="D211" s="950"/>
      <c r="E211" s="950"/>
      <c r="F211" s="950"/>
      <c r="G211" s="950"/>
      <c r="H211" s="950"/>
      <c r="I211" s="950"/>
      <c r="J211" s="950"/>
      <c r="K211" s="950"/>
      <c r="L211" s="950"/>
    </row>
    <row r="212" spans="1:12" ht="28.5" customHeight="1" thickBot="1">
      <c r="A212" s="35" t="s">
        <v>128</v>
      </c>
      <c r="B212" s="949" t="s">
        <v>8</v>
      </c>
      <c r="C212" s="950"/>
      <c r="D212" s="950"/>
      <c r="E212" s="950"/>
      <c r="F212" s="950"/>
      <c r="G212" s="950"/>
      <c r="H212" s="950"/>
      <c r="I212" s="950"/>
      <c r="J212" s="950"/>
      <c r="K212" s="950"/>
      <c r="L212" s="950"/>
    </row>
    <row r="213" spans="1:12" ht="29.25" customHeight="1" thickBot="1">
      <c r="A213" s="36" t="s">
        <v>104</v>
      </c>
      <c r="B213" s="958" t="s">
        <v>162</v>
      </c>
      <c r="C213" s="958"/>
      <c r="D213" s="958"/>
      <c r="E213" s="958"/>
      <c r="F213" s="958"/>
      <c r="G213" s="958"/>
      <c r="H213" s="958"/>
      <c r="I213" s="958"/>
      <c r="J213" s="958"/>
      <c r="K213" s="958"/>
      <c r="L213" s="959"/>
    </row>
    <row r="214" spans="1:12" s="37" customFormat="1" ht="40.5" customHeight="1" thickBot="1">
      <c r="A214" s="34" t="s">
        <v>130</v>
      </c>
      <c r="B214" s="47"/>
      <c r="C214" s="960" t="s">
        <v>131</v>
      </c>
      <c r="D214" s="961"/>
      <c r="E214" s="47" t="s">
        <v>243</v>
      </c>
      <c r="F214" s="962" t="s">
        <v>132</v>
      </c>
      <c r="G214" s="952"/>
      <c r="H214" s="952"/>
      <c r="I214" s="963"/>
      <c r="J214" s="967" t="s">
        <v>133</v>
      </c>
      <c r="K214" s="967"/>
      <c r="L214" s="967"/>
    </row>
    <row r="215" spans="1:12" ht="65.25" customHeight="1" thickBot="1">
      <c r="A215" s="34" t="s">
        <v>134</v>
      </c>
      <c r="B215" s="968" t="s">
        <v>260</v>
      </c>
      <c r="C215" s="969"/>
      <c r="D215" s="969"/>
      <c r="E215" s="969"/>
      <c r="F215" s="969"/>
      <c r="G215" s="969"/>
      <c r="H215" s="969"/>
      <c r="I215" s="969"/>
      <c r="J215" s="969"/>
      <c r="K215" s="969"/>
      <c r="L215" s="969"/>
    </row>
    <row r="216" spans="1:12" ht="51" customHeight="1" thickBot="1">
      <c r="A216" s="34" t="s">
        <v>129</v>
      </c>
      <c r="B216" s="966" t="s">
        <v>261</v>
      </c>
      <c r="C216" s="950"/>
      <c r="D216" s="950"/>
      <c r="E216" s="950"/>
      <c r="F216" s="950"/>
      <c r="G216" s="950"/>
      <c r="H216" s="950"/>
      <c r="I216" s="950"/>
      <c r="J216" s="950"/>
      <c r="K216" s="950"/>
      <c r="L216" s="950"/>
    </row>
    <row r="217" ht="20.25" customHeight="1"/>
    <row r="218" ht="20.25" customHeight="1">
      <c r="A218" s="38" t="s">
        <v>125</v>
      </c>
    </row>
    <row r="219" spans="1:12" ht="36" customHeight="1" thickBot="1">
      <c r="A219" s="949" t="s">
        <v>8</v>
      </c>
      <c r="B219" s="950"/>
      <c r="C219" s="950"/>
      <c r="D219" s="950"/>
      <c r="E219" s="950"/>
      <c r="F219" s="950"/>
      <c r="G219" s="950"/>
      <c r="H219" s="950"/>
      <c r="I219" s="950"/>
      <c r="J219" s="950"/>
      <c r="K219" s="950"/>
      <c r="L219" s="57" t="s">
        <v>138</v>
      </c>
    </row>
    <row r="220" spans="1:12" ht="13.5" customHeight="1" thickBot="1">
      <c r="A220" s="927" t="s">
        <v>4</v>
      </c>
      <c r="B220" s="964" t="s">
        <v>119</v>
      </c>
      <c r="C220" s="965"/>
      <c r="D220" s="965"/>
      <c r="E220" s="965"/>
      <c r="F220" s="939" t="s">
        <v>120</v>
      </c>
      <c r="G220" s="939" t="s">
        <v>121</v>
      </c>
      <c r="H220" s="942" t="s">
        <v>122</v>
      </c>
      <c r="I220" s="943"/>
      <c r="J220" s="943"/>
      <c r="K220" s="943"/>
      <c r="L220" s="945" t="s">
        <v>124</v>
      </c>
    </row>
    <row r="221" spans="1:12" ht="13.5" customHeight="1" thickBot="1">
      <c r="A221" s="928"/>
      <c r="B221" s="48"/>
      <c r="C221" s="947" t="s">
        <v>117</v>
      </c>
      <c r="D221" s="948"/>
      <c r="E221" s="930" t="s">
        <v>123</v>
      </c>
      <c r="F221" s="940"/>
      <c r="G221" s="940"/>
      <c r="H221" s="930" t="s">
        <v>112</v>
      </c>
      <c r="I221" s="947" t="s">
        <v>117</v>
      </c>
      <c r="J221" s="948"/>
      <c r="K221" s="930" t="s">
        <v>123</v>
      </c>
      <c r="L221" s="946"/>
    </row>
    <row r="222" spans="1:12" ht="43.5" customHeight="1" thickBot="1">
      <c r="A222" s="929"/>
      <c r="B222" s="49" t="s">
        <v>112</v>
      </c>
      <c r="C222" s="50" t="s">
        <v>116</v>
      </c>
      <c r="D222" s="51" t="s">
        <v>118</v>
      </c>
      <c r="E222" s="936"/>
      <c r="F222" s="941"/>
      <c r="G222" s="941"/>
      <c r="H222" s="941"/>
      <c r="I222" s="50" t="s">
        <v>116</v>
      </c>
      <c r="J222" s="51" t="s">
        <v>118</v>
      </c>
      <c r="K222" s="936"/>
      <c r="L222" s="946"/>
    </row>
    <row r="223" spans="1:12" ht="20.25" customHeight="1" thickBot="1">
      <c r="A223" s="39">
        <v>2017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8"/>
      <c r="L223" s="59">
        <f>B223+E223+F223+G223+H223+K223</f>
        <v>0</v>
      </c>
    </row>
    <row r="224" spans="1:12" ht="21.75" customHeight="1" thickBot="1">
      <c r="A224" s="39">
        <v>2018</v>
      </c>
      <c r="B224" s="52"/>
      <c r="C224" s="52"/>
      <c r="D224" s="52"/>
      <c r="E224" s="52"/>
      <c r="F224" s="52"/>
      <c r="G224" s="52"/>
      <c r="H224" s="52">
        <f aca="true" t="shared" si="7" ref="H224:K225">H223*1%+H223</f>
        <v>0</v>
      </c>
      <c r="I224" s="52">
        <f t="shared" si="7"/>
        <v>0</v>
      </c>
      <c r="J224" s="52">
        <f t="shared" si="7"/>
        <v>0</v>
      </c>
      <c r="K224" s="52">
        <f t="shared" si="7"/>
        <v>0</v>
      </c>
      <c r="L224" s="59">
        <f>B224+E224+F224+G224+H224+K224</f>
        <v>0</v>
      </c>
    </row>
    <row r="225" spans="1:12" ht="23.25" customHeight="1" thickBot="1">
      <c r="A225" s="40">
        <v>2019</v>
      </c>
      <c r="B225" s="52"/>
      <c r="C225" s="52"/>
      <c r="D225" s="52"/>
      <c r="E225" s="52"/>
      <c r="F225" s="52"/>
      <c r="G225" s="52"/>
      <c r="H225" s="52">
        <f t="shared" si="7"/>
        <v>0</v>
      </c>
      <c r="I225" s="52">
        <f t="shared" si="7"/>
        <v>0</v>
      </c>
      <c r="J225" s="52">
        <f t="shared" si="7"/>
        <v>0</v>
      </c>
      <c r="K225" s="52">
        <f t="shared" si="7"/>
        <v>0</v>
      </c>
      <c r="L225" s="59">
        <f>B225+E225+F225+G225+H225+K225</f>
        <v>0</v>
      </c>
    </row>
    <row r="226" ht="12"/>
    <row r="227" ht="12">
      <c r="A227" s="41" t="s">
        <v>135</v>
      </c>
    </row>
    <row r="228" spans="1:11" ht="27.75" customHeight="1" thickBot="1">
      <c r="A228" s="949" t="s">
        <v>8</v>
      </c>
      <c r="B228" s="950"/>
      <c r="C228" s="950"/>
      <c r="D228" s="950"/>
      <c r="E228" s="950"/>
      <c r="F228" s="950"/>
      <c r="G228" s="950"/>
      <c r="H228" s="950"/>
      <c r="I228" s="950"/>
      <c r="J228" s="950"/>
      <c r="K228" s="950"/>
    </row>
    <row r="229" spans="1:10" ht="36.75" customHeight="1" thickBot="1">
      <c r="A229" s="927" t="s">
        <v>103</v>
      </c>
      <c r="B229" s="930" t="s">
        <v>110</v>
      </c>
      <c r="C229" s="931"/>
      <c r="D229" s="932"/>
      <c r="E229" s="939" t="s">
        <v>106</v>
      </c>
      <c r="F229" s="939" t="s">
        <v>108</v>
      </c>
      <c r="G229" s="942" t="s">
        <v>107</v>
      </c>
      <c r="H229" s="943"/>
      <c r="I229" s="943"/>
      <c r="J229" s="944"/>
    </row>
    <row r="230" spans="1:10" ht="13.5" customHeight="1" thickBot="1">
      <c r="A230" s="928"/>
      <c r="B230" s="933"/>
      <c r="C230" s="934"/>
      <c r="D230" s="935"/>
      <c r="E230" s="940"/>
      <c r="F230" s="941"/>
      <c r="G230" s="54"/>
      <c r="H230" s="942" t="s">
        <v>109</v>
      </c>
      <c r="I230" s="943"/>
      <c r="J230" s="944"/>
    </row>
    <row r="231" spans="1:10" ht="12.75" thickBot="1">
      <c r="A231" s="929"/>
      <c r="B231" s="936"/>
      <c r="C231" s="937"/>
      <c r="D231" s="938"/>
      <c r="E231" s="941"/>
      <c r="F231" s="53">
        <v>2016</v>
      </c>
      <c r="G231" s="53">
        <v>2017</v>
      </c>
      <c r="H231" s="53">
        <v>2018</v>
      </c>
      <c r="I231" s="53">
        <v>2019</v>
      </c>
      <c r="J231" s="53">
        <v>2020</v>
      </c>
    </row>
    <row r="232" spans="1:10" ht="110.25" customHeight="1" thickBot="1">
      <c r="A232" s="42" t="s">
        <v>263</v>
      </c>
      <c r="B232" s="954" t="s">
        <v>262</v>
      </c>
      <c r="C232" s="955"/>
      <c r="D232" s="956"/>
      <c r="E232" s="71" t="s">
        <v>192</v>
      </c>
      <c r="F232" s="64">
        <v>2</v>
      </c>
      <c r="G232" s="64">
        <v>2</v>
      </c>
      <c r="H232" s="65">
        <v>2</v>
      </c>
      <c r="I232" s="66"/>
      <c r="J232" s="66"/>
    </row>
    <row r="233" spans="1:10" ht="29.25" customHeight="1">
      <c r="A233" s="43"/>
      <c r="B233" s="951"/>
      <c r="C233" s="952"/>
      <c r="D233" s="953"/>
      <c r="E233" s="67"/>
      <c r="F233" s="68"/>
      <c r="G233" s="68"/>
      <c r="H233" s="69"/>
      <c r="I233" s="70"/>
      <c r="J233" s="70"/>
    </row>
    <row r="234" spans="1:10" ht="35.25" customHeight="1" thickBot="1">
      <c r="A234" s="44"/>
      <c r="B234" s="951"/>
      <c r="C234" s="952"/>
      <c r="D234" s="953"/>
      <c r="E234" s="71"/>
      <c r="F234" s="72"/>
      <c r="G234" s="72"/>
      <c r="H234" s="73"/>
      <c r="I234" s="74"/>
      <c r="J234" s="74"/>
    </row>
    <row r="235" ht="12"/>
    <row r="236" ht="12"/>
    <row r="237" ht="24" customHeight="1" thickBot="1">
      <c r="A237" s="32">
        <v>8</v>
      </c>
    </row>
    <row r="238" spans="1:12" ht="24" customHeight="1" thickBot="1">
      <c r="A238" s="33" t="s">
        <v>126</v>
      </c>
      <c r="B238" s="959" t="s">
        <v>242</v>
      </c>
      <c r="C238" s="950"/>
      <c r="D238" s="950"/>
      <c r="E238" s="950"/>
      <c r="F238" s="950"/>
      <c r="G238" s="950"/>
      <c r="H238" s="950"/>
      <c r="I238" s="950"/>
      <c r="J238" s="950"/>
      <c r="K238" s="950"/>
      <c r="L238" s="950"/>
    </row>
    <row r="239" spans="1:12" ht="20.25" customHeight="1" thickBot="1">
      <c r="A239" s="34" t="s">
        <v>127</v>
      </c>
      <c r="B239" s="949" t="s">
        <v>418</v>
      </c>
      <c r="C239" s="950"/>
      <c r="D239" s="950"/>
      <c r="E239" s="950"/>
      <c r="F239" s="950"/>
      <c r="G239" s="950"/>
      <c r="H239" s="950"/>
      <c r="I239" s="950"/>
      <c r="J239" s="950"/>
      <c r="K239" s="950"/>
      <c r="L239" s="950"/>
    </row>
    <row r="240" spans="1:12" ht="28.5" customHeight="1" thickBot="1">
      <c r="A240" s="35" t="s">
        <v>128</v>
      </c>
      <c r="B240" s="949" t="s">
        <v>9</v>
      </c>
      <c r="C240" s="950"/>
      <c r="D240" s="950"/>
      <c r="E240" s="950"/>
      <c r="F240" s="950"/>
      <c r="G240" s="950"/>
      <c r="H240" s="950"/>
      <c r="I240" s="950"/>
      <c r="J240" s="950"/>
      <c r="K240" s="950"/>
      <c r="L240" s="950"/>
    </row>
    <row r="241" spans="1:12" ht="29.25" customHeight="1" thickBot="1">
      <c r="A241" s="36" t="s">
        <v>104</v>
      </c>
      <c r="B241" s="958" t="s">
        <v>264</v>
      </c>
      <c r="C241" s="958"/>
      <c r="D241" s="958"/>
      <c r="E241" s="958"/>
      <c r="F241" s="958"/>
      <c r="G241" s="958"/>
      <c r="H241" s="958"/>
      <c r="I241" s="958"/>
      <c r="J241" s="958"/>
      <c r="K241" s="958"/>
      <c r="L241" s="959"/>
    </row>
    <row r="242" spans="1:12" s="37" customFormat="1" ht="42.75" customHeight="1" thickBot="1">
      <c r="A242" s="34" t="s">
        <v>130</v>
      </c>
      <c r="B242" s="47" t="s">
        <v>243</v>
      </c>
      <c r="C242" s="960" t="s">
        <v>131</v>
      </c>
      <c r="D242" s="961"/>
      <c r="E242" s="47"/>
      <c r="F242" s="962" t="s">
        <v>132</v>
      </c>
      <c r="G242" s="952"/>
      <c r="H242" s="952"/>
      <c r="I242" s="963"/>
      <c r="J242" s="967" t="s">
        <v>133</v>
      </c>
      <c r="K242" s="967"/>
      <c r="L242" s="967"/>
    </row>
    <row r="243" spans="1:12" ht="65.25" customHeight="1" thickBot="1">
      <c r="A243" s="34" t="s">
        <v>134</v>
      </c>
      <c r="B243" s="968" t="s">
        <v>0</v>
      </c>
      <c r="C243" s="969"/>
      <c r="D243" s="969"/>
      <c r="E243" s="969"/>
      <c r="F243" s="969"/>
      <c r="G243" s="969"/>
      <c r="H243" s="969"/>
      <c r="I243" s="969"/>
      <c r="J243" s="969"/>
      <c r="K243" s="969"/>
      <c r="L243" s="969"/>
    </row>
    <row r="244" spans="1:12" ht="51" customHeight="1" thickBot="1">
      <c r="A244" s="34" t="s">
        <v>129</v>
      </c>
      <c r="B244" s="970" t="s">
        <v>426</v>
      </c>
      <c r="C244" s="971"/>
      <c r="D244" s="971"/>
      <c r="E244" s="971"/>
      <c r="F244" s="971"/>
      <c r="G244" s="971"/>
      <c r="H244" s="971"/>
      <c r="I244" s="971"/>
      <c r="J244" s="971"/>
      <c r="K244" s="971"/>
      <c r="L244" s="971"/>
    </row>
    <row r="245" ht="20.25" customHeight="1"/>
    <row r="246" ht="20.25" customHeight="1">
      <c r="A246" s="38" t="s">
        <v>125</v>
      </c>
    </row>
    <row r="247" spans="1:12" ht="36" customHeight="1" thickBot="1">
      <c r="A247" s="949" t="s">
        <v>9</v>
      </c>
      <c r="B247" s="950"/>
      <c r="C247" s="950"/>
      <c r="D247" s="950"/>
      <c r="E247" s="950"/>
      <c r="F247" s="950"/>
      <c r="G247" s="950"/>
      <c r="H247" s="950"/>
      <c r="I247" s="950"/>
      <c r="J247" s="950"/>
      <c r="K247" s="950"/>
      <c r="L247" s="57" t="s">
        <v>138</v>
      </c>
    </row>
    <row r="248" spans="1:12" ht="13.5" customHeight="1" thickBot="1">
      <c r="A248" s="927" t="s">
        <v>4</v>
      </c>
      <c r="B248" s="964" t="s">
        <v>119</v>
      </c>
      <c r="C248" s="965"/>
      <c r="D248" s="965"/>
      <c r="E248" s="965"/>
      <c r="F248" s="939" t="s">
        <v>120</v>
      </c>
      <c r="G248" s="939" t="s">
        <v>121</v>
      </c>
      <c r="H248" s="942" t="s">
        <v>122</v>
      </c>
      <c r="I248" s="943"/>
      <c r="J248" s="943"/>
      <c r="K248" s="943"/>
      <c r="L248" s="945" t="s">
        <v>124</v>
      </c>
    </row>
    <row r="249" spans="1:12" ht="13.5" customHeight="1" thickBot="1">
      <c r="A249" s="928"/>
      <c r="B249" s="48"/>
      <c r="C249" s="947" t="s">
        <v>117</v>
      </c>
      <c r="D249" s="948"/>
      <c r="E249" s="930" t="s">
        <v>123</v>
      </c>
      <c r="F249" s="940"/>
      <c r="G249" s="940"/>
      <c r="H249" s="930" t="s">
        <v>112</v>
      </c>
      <c r="I249" s="947" t="s">
        <v>117</v>
      </c>
      <c r="J249" s="948"/>
      <c r="K249" s="930" t="s">
        <v>123</v>
      </c>
      <c r="L249" s="946"/>
    </row>
    <row r="250" spans="1:12" ht="43.5" customHeight="1" thickBot="1">
      <c r="A250" s="929"/>
      <c r="B250" s="49" t="s">
        <v>112</v>
      </c>
      <c r="C250" s="50" t="s">
        <v>116</v>
      </c>
      <c r="D250" s="51" t="s">
        <v>118</v>
      </c>
      <c r="E250" s="936"/>
      <c r="F250" s="941"/>
      <c r="G250" s="941"/>
      <c r="H250" s="941"/>
      <c r="I250" s="50" t="s">
        <v>116</v>
      </c>
      <c r="J250" s="51" t="s">
        <v>118</v>
      </c>
      <c r="K250" s="936"/>
      <c r="L250" s="946"/>
    </row>
    <row r="251" spans="1:12" ht="20.25" customHeight="1" thickBot="1">
      <c r="A251" s="39">
        <v>2017</v>
      </c>
      <c r="B251" s="52"/>
      <c r="C251" s="52"/>
      <c r="D251" s="52"/>
      <c r="E251" s="52"/>
      <c r="F251" s="706">
        <v>1170409.4</v>
      </c>
      <c r="G251" s="52"/>
      <c r="H251" s="52"/>
      <c r="I251" s="52"/>
      <c r="J251" s="52"/>
      <c r="K251" s="58"/>
      <c r="L251" s="59">
        <f>B251+F251+G251+H251</f>
        <v>1170409.4</v>
      </c>
    </row>
    <row r="252" spans="1:12" ht="21.75" customHeight="1" thickBot="1">
      <c r="A252" s="39">
        <v>2018</v>
      </c>
      <c r="B252" s="52"/>
      <c r="C252" s="52"/>
      <c r="D252" s="52"/>
      <c r="E252" s="52"/>
      <c r="F252" s="706">
        <v>1549800</v>
      </c>
      <c r="G252" s="52"/>
      <c r="H252" s="52"/>
      <c r="I252" s="52"/>
      <c r="J252" s="52"/>
      <c r="K252" s="58"/>
      <c r="L252" s="59">
        <f>B252+F252+G252+H252</f>
        <v>1549800</v>
      </c>
    </row>
    <row r="253" spans="1:12" ht="23.25" customHeight="1" thickBot="1">
      <c r="A253" s="40">
        <v>2019</v>
      </c>
      <c r="B253" s="52"/>
      <c r="C253" s="52"/>
      <c r="D253" s="52"/>
      <c r="E253" s="52"/>
      <c r="F253" s="706">
        <v>948750</v>
      </c>
      <c r="G253" s="52"/>
      <c r="H253" s="52"/>
      <c r="I253" s="52"/>
      <c r="J253" s="52"/>
      <c r="K253" s="58"/>
      <c r="L253" s="59">
        <f>B253+F253+G253+H253</f>
        <v>948750</v>
      </c>
    </row>
    <row r="254" ht="12"/>
    <row r="255" ht="12">
      <c r="A255" s="41" t="s">
        <v>135</v>
      </c>
    </row>
    <row r="256" spans="1:11" ht="27.75" customHeight="1" thickBot="1">
      <c r="A256" s="949" t="s">
        <v>9</v>
      </c>
      <c r="B256" s="950"/>
      <c r="C256" s="950"/>
      <c r="D256" s="950"/>
      <c r="E256" s="950"/>
      <c r="F256" s="950"/>
      <c r="G256" s="950"/>
      <c r="H256" s="950"/>
      <c r="I256" s="950"/>
      <c r="J256" s="950"/>
      <c r="K256" s="950"/>
    </row>
    <row r="257" spans="1:10" ht="36.75" customHeight="1" thickBot="1">
      <c r="A257" s="927" t="s">
        <v>103</v>
      </c>
      <c r="B257" s="930" t="s">
        <v>110</v>
      </c>
      <c r="C257" s="931"/>
      <c r="D257" s="932"/>
      <c r="E257" s="939" t="s">
        <v>106</v>
      </c>
      <c r="F257" s="939" t="s">
        <v>108</v>
      </c>
      <c r="G257" s="942" t="s">
        <v>107</v>
      </c>
      <c r="H257" s="943"/>
      <c r="I257" s="943"/>
      <c r="J257" s="944"/>
    </row>
    <row r="258" spans="1:10" ht="13.5" customHeight="1" thickBot="1">
      <c r="A258" s="928"/>
      <c r="B258" s="933"/>
      <c r="C258" s="934"/>
      <c r="D258" s="935"/>
      <c r="E258" s="940"/>
      <c r="F258" s="941"/>
      <c r="G258" s="54"/>
      <c r="H258" s="942" t="s">
        <v>109</v>
      </c>
      <c r="I258" s="943"/>
      <c r="J258" s="944"/>
    </row>
    <row r="259" spans="1:10" ht="12.75" thickBot="1">
      <c r="A259" s="929"/>
      <c r="B259" s="936"/>
      <c r="C259" s="937"/>
      <c r="D259" s="938"/>
      <c r="E259" s="941"/>
      <c r="F259" s="53">
        <v>2016</v>
      </c>
      <c r="G259" s="53">
        <v>2017</v>
      </c>
      <c r="H259" s="53">
        <v>2018</v>
      </c>
      <c r="I259" s="53">
        <v>2019</v>
      </c>
      <c r="J259" s="53">
        <v>2020</v>
      </c>
    </row>
    <row r="260" spans="1:10" ht="79.5" customHeight="1" thickBot="1">
      <c r="A260" s="45" t="s">
        <v>198</v>
      </c>
      <c r="B260" s="954" t="s">
        <v>262</v>
      </c>
      <c r="C260" s="955"/>
      <c r="D260" s="956"/>
      <c r="E260" s="71" t="s">
        <v>149</v>
      </c>
      <c r="F260" s="64">
        <v>60</v>
      </c>
      <c r="G260" s="64">
        <v>65</v>
      </c>
      <c r="H260" s="65">
        <v>70</v>
      </c>
      <c r="I260" s="66">
        <v>75</v>
      </c>
      <c r="J260" s="66">
        <v>80</v>
      </c>
    </row>
    <row r="261" spans="1:10" ht="59.25" customHeight="1" thickBot="1">
      <c r="A261" s="45" t="s">
        <v>199</v>
      </c>
      <c r="B261" s="954" t="s">
        <v>262</v>
      </c>
      <c r="C261" s="955"/>
      <c r="D261" s="956"/>
      <c r="E261" s="71" t="s">
        <v>149</v>
      </c>
      <c r="F261" s="68">
        <v>100</v>
      </c>
      <c r="G261" s="68" t="s">
        <v>183</v>
      </c>
      <c r="H261" s="69" t="s">
        <v>183</v>
      </c>
      <c r="I261" s="70" t="s">
        <v>183</v>
      </c>
      <c r="J261" s="70" t="s">
        <v>183</v>
      </c>
    </row>
    <row r="262" ht="12.75" customHeight="1">
      <c r="A262" s="45"/>
    </row>
    <row r="263" ht="12"/>
    <row r="264" ht="24" customHeight="1" thickBot="1">
      <c r="A264" s="32">
        <v>9</v>
      </c>
    </row>
    <row r="265" spans="1:12" ht="24" customHeight="1" thickBot="1">
      <c r="A265" s="33" t="s">
        <v>126</v>
      </c>
      <c r="B265" s="959" t="s">
        <v>242</v>
      </c>
      <c r="C265" s="950"/>
      <c r="D265" s="950"/>
      <c r="E265" s="950"/>
      <c r="F265" s="950"/>
      <c r="G265" s="950"/>
      <c r="H265" s="950"/>
      <c r="I265" s="950"/>
      <c r="J265" s="950"/>
      <c r="K265" s="950"/>
      <c r="L265" s="950"/>
    </row>
    <row r="266" spans="1:12" ht="20.25" customHeight="1" thickBot="1">
      <c r="A266" s="34" t="s">
        <v>127</v>
      </c>
      <c r="B266" s="949" t="s">
        <v>419</v>
      </c>
      <c r="C266" s="950"/>
      <c r="D266" s="950"/>
      <c r="E266" s="950"/>
      <c r="F266" s="950"/>
      <c r="G266" s="950"/>
      <c r="H266" s="950"/>
      <c r="I266" s="950"/>
      <c r="J266" s="950"/>
      <c r="K266" s="950"/>
      <c r="L266" s="950"/>
    </row>
    <row r="267" spans="1:12" ht="28.5" customHeight="1" thickBot="1">
      <c r="A267" s="35" t="s">
        <v>128</v>
      </c>
      <c r="B267" s="949" t="s">
        <v>10</v>
      </c>
      <c r="C267" s="950"/>
      <c r="D267" s="950"/>
      <c r="E267" s="950"/>
      <c r="F267" s="950"/>
      <c r="G267" s="950"/>
      <c r="H267" s="950"/>
      <c r="I267" s="950"/>
      <c r="J267" s="950"/>
      <c r="K267" s="950"/>
      <c r="L267" s="950"/>
    </row>
    <row r="268" spans="1:12" ht="29.25" customHeight="1" thickBot="1">
      <c r="A268" s="36" t="s">
        <v>104</v>
      </c>
      <c r="B268" s="958" t="s">
        <v>1</v>
      </c>
      <c r="C268" s="958"/>
      <c r="D268" s="958"/>
      <c r="E268" s="958"/>
      <c r="F268" s="958"/>
      <c r="G268" s="958"/>
      <c r="H268" s="958"/>
      <c r="I268" s="958"/>
      <c r="J268" s="958"/>
      <c r="K268" s="958"/>
      <c r="L268" s="959"/>
    </row>
    <row r="269" spans="1:12" s="37" customFormat="1" ht="39.75" customHeight="1" thickBot="1">
      <c r="A269" s="34" t="s">
        <v>130</v>
      </c>
      <c r="B269" s="47" t="s">
        <v>243</v>
      </c>
      <c r="C269" s="960" t="s">
        <v>131</v>
      </c>
      <c r="D269" s="961"/>
      <c r="E269" s="47"/>
      <c r="F269" s="962" t="s">
        <v>132</v>
      </c>
      <c r="G269" s="952"/>
      <c r="H269" s="952"/>
      <c r="I269" s="963"/>
      <c r="J269" s="967" t="s">
        <v>133</v>
      </c>
      <c r="K269" s="967"/>
      <c r="L269" s="967"/>
    </row>
    <row r="270" spans="1:12" ht="65.25" customHeight="1" thickBot="1">
      <c r="A270" s="34" t="s">
        <v>134</v>
      </c>
      <c r="B270" s="968" t="s">
        <v>11</v>
      </c>
      <c r="C270" s="969"/>
      <c r="D270" s="969"/>
      <c r="E270" s="969"/>
      <c r="F270" s="969"/>
      <c r="G270" s="969"/>
      <c r="H270" s="969"/>
      <c r="I270" s="969"/>
      <c r="J270" s="969"/>
      <c r="K270" s="969"/>
      <c r="L270" s="969"/>
    </row>
    <row r="271" spans="1:12" ht="51" customHeight="1" thickBot="1">
      <c r="A271" s="34" t="s">
        <v>129</v>
      </c>
      <c r="B271" s="970" t="s">
        <v>426</v>
      </c>
      <c r="C271" s="971"/>
      <c r="D271" s="971"/>
      <c r="E271" s="971"/>
      <c r="F271" s="971"/>
      <c r="G271" s="971"/>
      <c r="H271" s="971"/>
      <c r="I271" s="971"/>
      <c r="J271" s="971"/>
      <c r="K271" s="971"/>
      <c r="L271" s="971"/>
    </row>
    <row r="272" ht="20.25" customHeight="1"/>
    <row r="273" ht="20.25" customHeight="1">
      <c r="A273" s="38" t="s">
        <v>125</v>
      </c>
    </row>
    <row r="274" spans="1:12" ht="36" customHeight="1" thickBot="1">
      <c r="A274" s="949" t="s">
        <v>10</v>
      </c>
      <c r="B274" s="950"/>
      <c r="C274" s="950"/>
      <c r="D274" s="950"/>
      <c r="E274" s="950"/>
      <c r="F274" s="950"/>
      <c r="G274" s="950"/>
      <c r="H274" s="950"/>
      <c r="I274" s="950"/>
      <c r="J274" s="950"/>
      <c r="K274" s="950"/>
      <c r="L274" s="57" t="s">
        <v>138</v>
      </c>
    </row>
    <row r="275" spans="1:12" ht="13.5" customHeight="1" thickBot="1">
      <c r="A275" s="927" t="s">
        <v>4</v>
      </c>
      <c r="B275" s="964" t="s">
        <v>119</v>
      </c>
      <c r="C275" s="965"/>
      <c r="D275" s="965"/>
      <c r="E275" s="965"/>
      <c r="F275" s="939" t="s">
        <v>120</v>
      </c>
      <c r="G275" s="939" t="s">
        <v>121</v>
      </c>
      <c r="H275" s="942" t="s">
        <v>122</v>
      </c>
      <c r="I275" s="943"/>
      <c r="J275" s="943"/>
      <c r="K275" s="943"/>
      <c r="L275" s="945" t="s">
        <v>124</v>
      </c>
    </row>
    <row r="276" spans="1:12" ht="13.5" customHeight="1" thickBot="1">
      <c r="A276" s="928"/>
      <c r="B276" s="48"/>
      <c r="C276" s="947" t="s">
        <v>117</v>
      </c>
      <c r="D276" s="948"/>
      <c r="E276" s="930" t="s">
        <v>123</v>
      </c>
      <c r="F276" s="940"/>
      <c r="G276" s="940"/>
      <c r="H276" s="930" t="s">
        <v>112</v>
      </c>
      <c r="I276" s="947" t="s">
        <v>117</v>
      </c>
      <c r="J276" s="948"/>
      <c r="K276" s="930" t="s">
        <v>123</v>
      </c>
      <c r="L276" s="946"/>
    </row>
    <row r="277" spans="1:12" ht="43.5" customHeight="1" thickBot="1">
      <c r="A277" s="929"/>
      <c r="B277" s="49" t="s">
        <v>112</v>
      </c>
      <c r="C277" s="50" t="s">
        <v>116</v>
      </c>
      <c r="D277" s="51" t="s">
        <v>118</v>
      </c>
      <c r="E277" s="936"/>
      <c r="F277" s="941"/>
      <c r="G277" s="940"/>
      <c r="H277" s="941"/>
      <c r="I277" s="50" t="s">
        <v>116</v>
      </c>
      <c r="J277" s="51" t="s">
        <v>118</v>
      </c>
      <c r="K277" s="936"/>
      <c r="L277" s="946"/>
    </row>
    <row r="278" spans="1:12" ht="20.25" customHeight="1" thickBot="1">
      <c r="A278" s="39">
        <v>2017</v>
      </c>
      <c r="B278" s="578"/>
      <c r="C278" s="578"/>
      <c r="D278" s="578"/>
      <c r="E278" s="578"/>
      <c r="F278" s="579"/>
      <c r="G278" s="580"/>
      <c r="H278" s="578"/>
      <c r="I278" s="578"/>
      <c r="J278" s="578"/>
      <c r="K278" s="579"/>
      <c r="L278" s="59">
        <v>0</v>
      </c>
    </row>
    <row r="279" spans="1:12" ht="21.75" customHeight="1" thickBot="1">
      <c r="A279" s="39">
        <v>2018</v>
      </c>
      <c r="B279" s="578"/>
      <c r="C279" s="578"/>
      <c r="D279" s="578"/>
      <c r="E279" s="578"/>
      <c r="F279" s="579"/>
      <c r="G279" s="580"/>
      <c r="H279" s="578"/>
      <c r="I279" s="578"/>
      <c r="J279" s="578"/>
      <c r="K279" s="579"/>
      <c r="L279" s="59">
        <v>0</v>
      </c>
    </row>
    <row r="280" spans="1:12" ht="23.25" customHeight="1" thickBot="1">
      <c r="A280" s="40">
        <v>2019</v>
      </c>
      <c r="B280" s="578"/>
      <c r="C280" s="578"/>
      <c r="D280" s="578"/>
      <c r="E280" s="578"/>
      <c r="F280" s="579"/>
      <c r="G280" s="581"/>
      <c r="H280" s="578"/>
      <c r="I280" s="578"/>
      <c r="J280" s="578"/>
      <c r="K280" s="579"/>
      <c r="L280" s="59">
        <v>0</v>
      </c>
    </row>
    <row r="281" ht="12"/>
    <row r="282" ht="12">
      <c r="A282" s="41" t="s">
        <v>135</v>
      </c>
    </row>
    <row r="283" spans="1:11" ht="27.75" customHeight="1" thickBot="1">
      <c r="A283" s="949" t="s">
        <v>10</v>
      </c>
      <c r="B283" s="950"/>
      <c r="C283" s="950"/>
      <c r="D283" s="950"/>
      <c r="E283" s="950"/>
      <c r="F283" s="950"/>
      <c r="G283" s="950"/>
      <c r="H283" s="950"/>
      <c r="I283" s="950"/>
      <c r="J283" s="950"/>
      <c r="K283" s="950"/>
    </row>
    <row r="284" spans="1:10" ht="36.75" customHeight="1" thickBot="1">
      <c r="A284" s="927" t="s">
        <v>103</v>
      </c>
      <c r="B284" s="930" t="s">
        <v>110</v>
      </c>
      <c r="C284" s="931"/>
      <c r="D284" s="932"/>
      <c r="E284" s="939" t="s">
        <v>106</v>
      </c>
      <c r="F284" s="939" t="s">
        <v>108</v>
      </c>
      <c r="G284" s="942" t="s">
        <v>107</v>
      </c>
      <c r="H284" s="943"/>
      <c r="I284" s="943"/>
      <c r="J284" s="944"/>
    </row>
    <row r="285" spans="1:10" ht="13.5" customHeight="1" thickBot="1">
      <c r="A285" s="928"/>
      <c r="B285" s="933"/>
      <c r="C285" s="934"/>
      <c r="D285" s="935"/>
      <c r="E285" s="940"/>
      <c r="F285" s="941"/>
      <c r="G285" s="54"/>
      <c r="H285" s="942" t="s">
        <v>109</v>
      </c>
      <c r="I285" s="943"/>
      <c r="J285" s="944"/>
    </row>
    <row r="286" spans="1:10" ht="12.75" thickBot="1">
      <c r="A286" s="929"/>
      <c r="B286" s="936"/>
      <c r="C286" s="937"/>
      <c r="D286" s="938"/>
      <c r="E286" s="941"/>
      <c r="F286" s="53">
        <v>2016</v>
      </c>
      <c r="G286" s="53">
        <v>2017</v>
      </c>
      <c r="H286" s="53">
        <v>2018</v>
      </c>
      <c r="I286" s="53">
        <v>2019</v>
      </c>
      <c r="J286" s="53">
        <v>2020</v>
      </c>
    </row>
    <row r="287" spans="1:10" ht="118.5" customHeight="1" thickBot="1">
      <c r="A287" s="45" t="s">
        <v>203</v>
      </c>
      <c r="B287" s="954" t="s">
        <v>262</v>
      </c>
      <c r="C287" s="955"/>
      <c r="D287" s="956"/>
      <c r="E287" s="71" t="s">
        <v>192</v>
      </c>
      <c r="F287" s="64">
        <v>30</v>
      </c>
      <c r="G287" s="64" t="s">
        <v>183</v>
      </c>
      <c r="H287" s="65" t="s">
        <v>183</v>
      </c>
      <c r="I287" s="70" t="s">
        <v>183</v>
      </c>
      <c r="J287" s="70" t="s">
        <v>183</v>
      </c>
    </row>
    <row r="288" spans="1:10" ht="29.25" customHeight="1" thickBot="1">
      <c r="A288" s="45"/>
      <c r="B288" s="954"/>
      <c r="C288" s="955"/>
      <c r="D288" s="956"/>
      <c r="E288" s="71"/>
      <c r="F288" s="68"/>
      <c r="G288" s="68"/>
      <c r="H288" s="69"/>
      <c r="I288" s="70"/>
      <c r="J288" s="70"/>
    </row>
    <row r="289" spans="1:10" ht="35.25" customHeight="1" thickBot="1">
      <c r="A289" s="45"/>
      <c r="B289" s="954"/>
      <c r="C289" s="955"/>
      <c r="D289" s="956"/>
      <c r="E289" s="71"/>
      <c r="F289" s="72"/>
      <c r="G289" s="72"/>
      <c r="H289" s="73"/>
      <c r="I289" s="74"/>
      <c r="J289" s="74"/>
    </row>
    <row r="290" ht="12"/>
    <row r="291" ht="12"/>
    <row r="292" ht="24" customHeight="1" thickBot="1">
      <c r="A292" s="32">
        <v>10</v>
      </c>
    </row>
    <row r="293" spans="1:12" ht="24" customHeight="1" thickBot="1">
      <c r="A293" s="33" t="s">
        <v>126</v>
      </c>
      <c r="B293" s="959" t="s">
        <v>242</v>
      </c>
      <c r="C293" s="950"/>
      <c r="D293" s="950"/>
      <c r="E293" s="950"/>
      <c r="F293" s="950"/>
      <c r="G293" s="950"/>
      <c r="H293" s="950"/>
      <c r="I293" s="950"/>
      <c r="J293" s="950"/>
      <c r="K293" s="950"/>
      <c r="L293" s="950"/>
    </row>
    <row r="294" spans="1:12" ht="20.25" customHeight="1" thickBot="1">
      <c r="A294" s="34" t="s">
        <v>127</v>
      </c>
      <c r="B294" s="949" t="s">
        <v>418</v>
      </c>
      <c r="C294" s="950"/>
      <c r="D294" s="950"/>
      <c r="E294" s="950"/>
      <c r="F294" s="950"/>
      <c r="G294" s="950"/>
      <c r="H294" s="950"/>
      <c r="I294" s="950"/>
      <c r="J294" s="950"/>
      <c r="K294" s="950"/>
      <c r="L294" s="950"/>
    </row>
    <row r="295" spans="1:12" ht="28.5" customHeight="1" thickBot="1">
      <c r="A295" s="35" t="s">
        <v>128</v>
      </c>
      <c r="B295" s="949" t="s">
        <v>12</v>
      </c>
      <c r="C295" s="950"/>
      <c r="D295" s="950"/>
      <c r="E295" s="950"/>
      <c r="F295" s="950"/>
      <c r="G295" s="950"/>
      <c r="H295" s="950"/>
      <c r="I295" s="950"/>
      <c r="J295" s="950"/>
      <c r="K295" s="950"/>
      <c r="L295" s="950"/>
    </row>
    <row r="296" spans="1:12" ht="29.25" customHeight="1" thickBot="1">
      <c r="A296" s="36" t="s">
        <v>104</v>
      </c>
      <c r="B296" s="958" t="s">
        <v>264</v>
      </c>
      <c r="C296" s="958"/>
      <c r="D296" s="958"/>
      <c r="E296" s="958"/>
      <c r="F296" s="958"/>
      <c r="G296" s="958"/>
      <c r="H296" s="958"/>
      <c r="I296" s="958"/>
      <c r="J296" s="958"/>
      <c r="K296" s="958"/>
      <c r="L296" s="959"/>
    </row>
    <row r="297" spans="1:12" s="37" customFormat="1" ht="50.25" customHeight="1" thickBot="1">
      <c r="A297" s="34" t="s">
        <v>130</v>
      </c>
      <c r="B297" s="47" t="s">
        <v>243</v>
      </c>
      <c r="C297" s="960" t="s">
        <v>131</v>
      </c>
      <c r="D297" s="961"/>
      <c r="E297" s="47"/>
      <c r="F297" s="962" t="s">
        <v>132</v>
      </c>
      <c r="G297" s="952"/>
      <c r="H297" s="952"/>
      <c r="I297" s="963"/>
      <c r="J297" s="967" t="s">
        <v>133</v>
      </c>
      <c r="K297" s="967"/>
      <c r="L297" s="967"/>
    </row>
    <row r="298" spans="1:12" ht="65.25" customHeight="1" thickBot="1">
      <c r="A298" s="34" t="s">
        <v>134</v>
      </c>
      <c r="B298" s="968" t="s">
        <v>420</v>
      </c>
      <c r="C298" s="969"/>
      <c r="D298" s="969"/>
      <c r="E298" s="969"/>
      <c r="F298" s="969"/>
      <c r="G298" s="969"/>
      <c r="H298" s="969"/>
      <c r="I298" s="969"/>
      <c r="J298" s="969"/>
      <c r="K298" s="969"/>
      <c r="L298" s="969"/>
    </row>
    <row r="299" spans="1:12" ht="51" customHeight="1" thickBot="1">
      <c r="A299" s="34" t="s">
        <v>129</v>
      </c>
      <c r="B299" s="970" t="s">
        <v>426</v>
      </c>
      <c r="C299" s="971"/>
      <c r="D299" s="971"/>
      <c r="E299" s="971"/>
      <c r="F299" s="971"/>
      <c r="G299" s="971"/>
      <c r="H299" s="971"/>
      <c r="I299" s="971"/>
      <c r="J299" s="971"/>
      <c r="K299" s="971"/>
      <c r="L299" s="971"/>
    </row>
    <row r="300" ht="20.25" customHeight="1"/>
    <row r="301" ht="20.25" customHeight="1">
      <c r="A301" s="38" t="s">
        <v>125</v>
      </c>
    </row>
    <row r="302" spans="1:12" ht="36" customHeight="1" thickBot="1">
      <c r="A302" s="949" t="s">
        <v>12</v>
      </c>
      <c r="B302" s="950"/>
      <c r="C302" s="950"/>
      <c r="D302" s="950"/>
      <c r="E302" s="950"/>
      <c r="F302" s="950"/>
      <c r="G302" s="950"/>
      <c r="H302" s="950"/>
      <c r="I302" s="950"/>
      <c r="J302" s="950"/>
      <c r="K302" s="950"/>
      <c r="L302" s="57" t="s">
        <v>138</v>
      </c>
    </row>
    <row r="303" spans="1:12" ht="13.5" customHeight="1" thickBot="1">
      <c r="A303" s="927" t="s">
        <v>4</v>
      </c>
      <c r="B303" s="964" t="s">
        <v>119</v>
      </c>
      <c r="C303" s="965"/>
      <c r="D303" s="965"/>
      <c r="E303" s="965"/>
      <c r="F303" s="939" t="s">
        <v>120</v>
      </c>
      <c r="G303" s="939" t="s">
        <v>121</v>
      </c>
      <c r="H303" s="942" t="s">
        <v>122</v>
      </c>
      <c r="I303" s="943"/>
      <c r="J303" s="943"/>
      <c r="K303" s="943"/>
      <c r="L303" s="945" t="s">
        <v>124</v>
      </c>
    </row>
    <row r="304" spans="1:12" ht="13.5" customHeight="1" thickBot="1">
      <c r="A304" s="928"/>
      <c r="B304" s="48"/>
      <c r="C304" s="947" t="s">
        <v>117</v>
      </c>
      <c r="D304" s="948"/>
      <c r="E304" s="930" t="s">
        <v>123</v>
      </c>
      <c r="F304" s="940"/>
      <c r="G304" s="940"/>
      <c r="H304" s="930" t="s">
        <v>112</v>
      </c>
      <c r="I304" s="947" t="s">
        <v>117</v>
      </c>
      <c r="J304" s="948"/>
      <c r="K304" s="930" t="s">
        <v>123</v>
      </c>
      <c r="L304" s="946"/>
    </row>
    <row r="305" spans="1:12" ht="43.5" customHeight="1" thickBot="1">
      <c r="A305" s="929"/>
      <c r="B305" s="49" t="s">
        <v>112</v>
      </c>
      <c r="C305" s="50" t="s">
        <v>116</v>
      </c>
      <c r="D305" s="51" t="s">
        <v>118</v>
      </c>
      <c r="E305" s="936"/>
      <c r="F305" s="941"/>
      <c r="G305" s="941"/>
      <c r="H305" s="941"/>
      <c r="I305" s="50" t="s">
        <v>116</v>
      </c>
      <c r="J305" s="51" t="s">
        <v>118</v>
      </c>
      <c r="K305" s="936"/>
      <c r="L305" s="946"/>
    </row>
    <row r="306" spans="1:12" ht="20.25" customHeight="1" thickBot="1">
      <c r="A306" s="39">
        <v>2017</v>
      </c>
      <c r="B306" s="52"/>
      <c r="C306" s="52"/>
      <c r="D306" s="52"/>
      <c r="E306" s="52"/>
      <c r="F306" s="52"/>
      <c r="G306" s="706">
        <v>14642.3</v>
      </c>
      <c r="H306" s="52"/>
      <c r="I306" s="52"/>
      <c r="J306" s="52"/>
      <c r="K306" s="58"/>
      <c r="L306" s="59">
        <f>B306+E306+F306+G306+H306+K306</f>
        <v>14642.3</v>
      </c>
    </row>
    <row r="307" spans="1:12" ht="21.75" customHeight="1" thickBot="1">
      <c r="A307" s="39">
        <v>2018</v>
      </c>
      <c r="B307" s="52"/>
      <c r="C307" s="52"/>
      <c r="D307" s="52"/>
      <c r="E307" s="52"/>
      <c r="F307" s="52"/>
      <c r="G307" s="706">
        <v>14760</v>
      </c>
      <c r="H307" s="52"/>
      <c r="I307" s="52"/>
      <c r="J307" s="52"/>
      <c r="K307" s="58"/>
      <c r="L307" s="59">
        <f>B307+E307+F307+G307+H307+K307</f>
        <v>14760</v>
      </c>
    </row>
    <row r="308" spans="1:12" ht="23.25" customHeight="1" thickBot="1">
      <c r="A308" s="40">
        <v>2019</v>
      </c>
      <c r="B308" s="52"/>
      <c r="C308" s="52"/>
      <c r="D308" s="52"/>
      <c r="E308" s="52"/>
      <c r="F308" s="52"/>
      <c r="G308" s="706">
        <v>11385</v>
      </c>
      <c r="H308" s="52"/>
      <c r="I308" s="52"/>
      <c r="J308" s="52"/>
      <c r="K308" s="58"/>
      <c r="L308" s="59">
        <f>B308+E308+F308+G308+H308+K308</f>
        <v>11385</v>
      </c>
    </row>
    <row r="309" ht="12"/>
    <row r="310" ht="12">
      <c r="A310" s="41" t="s">
        <v>135</v>
      </c>
    </row>
    <row r="311" spans="1:11" ht="27.75" customHeight="1" thickBot="1">
      <c r="A311" s="949" t="s">
        <v>12</v>
      </c>
      <c r="B311" s="950"/>
      <c r="C311" s="950"/>
      <c r="D311" s="950"/>
      <c r="E311" s="950"/>
      <c r="F311" s="950"/>
      <c r="G311" s="950"/>
      <c r="H311" s="950"/>
      <c r="I311" s="950"/>
      <c r="J311" s="950"/>
      <c r="K311" s="950"/>
    </row>
    <row r="312" spans="1:10" ht="36.75" customHeight="1" thickBot="1">
      <c r="A312" s="927" t="s">
        <v>103</v>
      </c>
      <c r="B312" s="930" t="s">
        <v>110</v>
      </c>
      <c r="C312" s="931"/>
      <c r="D312" s="932"/>
      <c r="E312" s="939" t="s">
        <v>106</v>
      </c>
      <c r="F312" s="939" t="s">
        <v>108</v>
      </c>
      <c r="G312" s="942" t="s">
        <v>107</v>
      </c>
      <c r="H312" s="943"/>
      <c r="I312" s="943"/>
      <c r="J312" s="944"/>
    </row>
    <row r="313" spans="1:10" ht="13.5" customHeight="1" thickBot="1">
      <c r="A313" s="928"/>
      <c r="B313" s="933"/>
      <c r="C313" s="934"/>
      <c r="D313" s="935"/>
      <c r="E313" s="940"/>
      <c r="F313" s="941"/>
      <c r="G313" s="54"/>
      <c r="H313" s="942" t="s">
        <v>109</v>
      </c>
      <c r="I313" s="943"/>
      <c r="J313" s="944"/>
    </row>
    <row r="314" spans="1:10" ht="12.75" thickBot="1">
      <c r="A314" s="929"/>
      <c r="B314" s="936"/>
      <c r="C314" s="937"/>
      <c r="D314" s="938"/>
      <c r="E314" s="941"/>
      <c r="F314" s="53">
        <v>2016</v>
      </c>
      <c r="G314" s="53">
        <v>2017</v>
      </c>
      <c r="H314" s="53">
        <v>2018</v>
      </c>
      <c r="I314" s="53">
        <v>2019</v>
      </c>
      <c r="J314" s="53">
        <v>2020</v>
      </c>
    </row>
    <row r="315" spans="1:10" ht="96" customHeight="1" thickBot="1">
      <c r="A315" s="45" t="s">
        <v>2</v>
      </c>
      <c r="B315" s="954" t="s">
        <v>262</v>
      </c>
      <c r="C315" s="955"/>
      <c r="D315" s="956"/>
      <c r="E315" s="71" t="s">
        <v>149</v>
      </c>
      <c r="F315" s="64">
        <v>96.5</v>
      </c>
      <c r="G315" s="64">
        <v>96.5</v>
      </c>
      <c r="H315" s="65" t="s">
        <v>183</v>
      </c>
      <c r="I315" s="65" t="s">
        <v>183</v>
      </c>
      <c r="J315" s="65" t="s">
        <v>183</v>
      </c>
    </row>
    <row r="316" spans="1:10" ht="29.25" customHeight="1" thickBot="1">
      <c r="A316" s="45"/>
      <c r="B316" s="954"/>
      <c r="C316" s="955"/>
      <c r="D316" s="956"/>
      <c r="E316" s="71"/>
      <c r="F316" s="68"/>
      <c r="G316" s="68"/>
      <c r="H316" s="69"/>
      <c r="I316" s="70"/>
      <c r="J316" s="70"/>
    </row>
    <row r="317" spans="1:10" ht="35.25" customHeight="1" thickBot="1">
      <c r="A317" s="45"/>
      <c r="B317" s="954"/>
      <c r="C317" s="955"/>
      <c r="D317" s="956"/>
      <c r="E317" s="71"/>
      <c r="F317" s="72"/>
      <c r="G317" s="72"/>
      <c r="H317" s="73"/>
      <c r="I317" s="74"/>
      <c r="J317" s="74"/>
    </row>
    <row r="318" spans="1:10" ht="12">
      <c r="A318" s="485"/>
      <c r="B318" s="486"/>
      <c r="C318" s="486"/>
      <c r="D318" s="486"/>
      <c r="E318" s="487"/>
      <c r="F318" s="488"/>
      <c r="G318" s="488"/>
      <c r="H318" s="489"/>
      <c r="I318" s="490"/>
      <c r="J318" s="490"/>
    </row>
    <row r="319" spans="1:13" s="492" customFormat="1" ht="16.5">
      <c r="A319" s="491"/>
      <c r="B319" s="491"/>
      <c r="C319" s="491"/>
      <c r="D319" s="491"/>
      <c r="E319" s="491"/>
      <c r="F319" s="491"/>
      <c r="G319" s="491"/>
      <c r="H319" s="491"/>
      <c r="I319" s="491"/>
      <c r="J319" s="491"/>
      <c r="K319" s="491"/>
      <c r="L319" s="491"/>
      <c r="M319" s="491"/>
    </row>
    <row r="320" spans="1:13" s="492" customFormat="1" ht="17.25" thickBot="1">
      <c r="A320" s="507" t="s">
        <v>354</v>
      </c>
      <c r="B320" s="508"/>
      <c r="C320" s="508"/>
      <c r="D320" s="508"/>
      <c r="E320" s="508"/>
      <c r="F320" s="508"/>
      <c r="G320" s="508"/>
      <c r="H320" s="508"/>
      <c r="I320" s="508"/>
      <c r="J320" s="508"/>
      <c r="K320" s="508"/>
      <c r="L320" s="508"/>
      <c r="M320" s="491"/>
    </row>
    <row r="321" spans="1:13" s="492" customFormat="1" ht="24.75" thickBot="1">
      <c r="A321" s="509" t="s">
        <v>126</v>
      </c>
      <c r="B321" s="1004" t="s">
        <v>369</v>
      </c>
      <c r="C321" s="1005"/>
      <c r="D321" s="1005"/>
      <c r="E321" s="1005"/>
      <c r="F321" s="1005"/>
      <c r="G321" s="1005"/>
      <c r="H321" s="1005"/>
      <c r="I321" s="1005"/>
      <c r="J321" s="1005"/>
      <c r="K321" s="1005"/>
      <c r="L321" s="1006"/>
      <c r="M321" s="493"/>
    </row>
    <row r="322" spans="1:13" s="492" customFormat="1" ht="48.75" customHeight="1" thickBot="1">
      <c r="A322" s="510" t="s">
        <v>127</v>
      </c>
      <c r="B322" s="980" t="s">
        <v>397</v>
      </c>
      <c r="C322" s="981"/>
      <c r="D322" s="981"/>
      <c r="E322" s="981"/>
      <c r="F322" s="981"/>
      <c r="G322" s="981"/>
      <c r="H322" s="981"/>
      <c r="I322" s="981"/>
      <c r="J322" s="981"/>
      <c r="K322" s="981"/>
      <c r="L322" s="982"/>
      <c r="M322" s="494"/>
    </row>
    <row r="323" spans="1:13" s="492" customFormat="1" ht="17.25" thickBot="1">
      <c r="A323" s="511" t="s">
        <v>128</v>
      </c>
      <c r="B323" s="1001" t="s">
        <v>389</v>
      </c>
      <c r="C323" s="1002"/>
      <c r="D323" s="1002"/>
      <c r="E323" s="1002"/>
      <c r="F323" s="1002"/>
      <c r="G323" s="1002"/>
      <c r="H323" s="1002"/>
      <c r="I323" s="1002"/>
      <c r="J323" s="1002"/>
      <c r="K323" s="1002"/>
      <c r="L323" s="1003"/>
      <c r="M323" s="495"/>
    </row>
    <row r="324" spans="1:13" s="492" customFormat="1" ht="24.75" thickBot="1">
      <c r="A324" s="512" t="s">
        <v>104</v>
      </c>
      <c r="B324" s="980" t="s">
        <v>355</v>
      </c>
      <c r="C324" s="981"/>
      <c r="D324" s="981"/>
      <c r="E324" s="981"/>
      <c r="F324" s="981"/>
      <c r="G324" s="981"/>
      <c r="H324" s="981"/>
      <c r="I324" s="981"/>
      <c r="J324" s="981"/>
      <c r="K324" s="981"/>
      <c r="L324" s="982"/>
      <c r="M324" s="495"/>
    </row>
    <row r="325" spans="1:13" s="492" customFormat="1" ht="50.25" customHeight="1" thickBot="1">
      <c r="A325" s="510" t="s">
        <v>130</v>
      </c>
      <c r="B325" s="513" t="s">
        <v>356</v>
      </c>
      <c r="C325" s="1010" t="s">
        <v>131</v>
      </c>
      <c r="D325" s="1006"/>
      <c r="E325" s="514"/>
      <c r="F325" s="1010" t="s">
        <v>132</v>
      </c>
      <c r="G325" s="1005"/>
      <c r="H325" s="1005"/>
      <c r="I325" s="1006"/>
      <c r="J325" s="1011" t="s">
        <v>133</v>
      </c>
      <c r="K325" s="1011"/>
      <c r="L325" s="1011"/>
      <c r="M325" s="496"/>
    </row>
    <row r="326" spans="1:13" s="492" customFormat="1" ht="171" customHeight="1" thickBot="1">
      <c r="A326" s="510" t="s">
        <v>134</v>
      </c>
      <c r="B326" s="1007" t="s">
        <v>390</v>
      </c>
      <c r="C326" s="1008"/>
      <c r="D326" s="1008"/>
      <c r="E326" s="1008"/>
      <c r="F326" s="1008"/>
      <c r="G326" s="1008"/>
      <c r="H326" s="1008"/>
      <c r="I326" s="1008"/>
      <c r="J326" s="1008"/>
      <c r="K326" s="1008"/>
      <c r="L326" s="1009"/>
      <c r="M326" s="497"/>
    </row>
    <row r="327" spans="1:13" s="492" customFormat="1" ht="65.25" customHeight="1" thickBot="1">
      <c r="A327" s="510" t="s">
        <v>129</v>
      </c>
      <c r="B327" s="1013" t="s">
        <v>357</v>
      </c>
      <c r="C327" s="1014"/>
      <c r="D327" s="1014"/>
      <c r="E327" s="1014"/>
      <c r="F327" s="1014"/>
      <c r="G327" s="1014"/>
      <c r="H327" s="1014"/>
      <c r="I327" s="1014"/>
      <c r="J327" s="1014"/>
      <c r="K327" s="1014"/>
      <c r="L327" s="1015"/>
      <c r="M327" s="498"/>
    </row>
    <row r="328" spans="1:13" s="492" customFormat="1" ht="16.5">
      <c r="A328" s="515"/>
      <c r="B328" s="508"/>
      <c r="C328" s="508"/>
      <c r="D328" s="508"/>
      <c r="E328" s="508"/>
      <c r="F328" s="508"/>
      <c r="G328" s="508"/>
      <c r="H328" s="508"/>
      <c r="I328" s="508"/>
      <c r="J328" s="508"/>
      <c r="K328" s="508"/>
      <c r="L328" s="508"/>
      <c r="M328" s="491"/>
    </row>
    <row r="329" spans="1:13" s="492" customFormat="1" ht="16.5">
      <c r="A329" s="516" t="s">
        <v>125</v>
      </c>
      <c r="B329" s="508"/>
      <c r="C329" s="508"/>
      <c r="D329" s="508"/>
      <c r="E329" s="508"/>
      <c r="F329" s="508"/>
      <c r="G329" s="508"/>
      <c r="H329" s="508"/>
      <c r="I329" s="508"/>
      <c r="J329" s="508"/>
      <c r="K329" s="508"/>
      <c r="L329" s="508"/>
      <c r="M329" s="491"/>
    </row>
    <row r="330" spans="1:13" s="492" customFormat="1" ht="17.25" thickBot="1">
      <c r="A330" s="1016"/>
      <c r="B330" s="1016"/>
      <c r="C330" s="1016"/>
      <c r="D330" s="1016"/>
      <c r="E330" s="1016"/>
      <c r="F330" s="1016"/>
      <c r="G330" s="1016"/>
      <c r="H330" s="1016"/>
      <c r="I330" s="1016"/>
      <c r="J330" s="1016"/>
      <c r="K330" s="1017"/>
      <c r="L330" s="517" t="s">
        <v>138</v>
      </c>
      <c r="M330" s="499"/>
    </row>
    <row r="331" spans="1:20" s="492" customFormat="1" ht="17.25" thickBot="1">
      <c r="A331" s="939" t="s">
        <v>111</v>
      </c>
      <c r="B331" s="942" t="s">
        <v>119</v>
      </c>
      <c r="C331" s="943"/>
      <c r="D331" s="943"/>
      <c r="E331" s="944"/>
      <c r="F331" s="939" t="s">
        <v>120</v>
      </c>
      <c r="G331" s="939" t="s">
        <v>121</v>
      </c>
      <c r="H331" s="942" t="s">
        <v>122</v>
      </c>
      <c r="I331" s="943"/>
      <c r="J331" s="943"/>
      <c r="K331" s="944"/>
      <c r="L331" s="945" t="s">
        <v>124</v>
      </c>
      <c r="M331" s="500"/>
      <c r="O331" s="501"/>
      <c r="P331" s="501"/>
      <c r="S331" s="502"/>
      <c r="T331" s="502"/>
    </row>
    <row r="332" spans="1:20" s="492" customFormat="1" ht="17.25" thickBot="1">
      <c r="A332" s="940"/>
      <c r="B332" s="545"/>
      <c r="C332" s="947" t="s">
        <v>117</v>
      </c>
      <c r="D332" s="948"/>
      <c r="E332" s="939" t="s">
        <v>123</v>
      </c>
      <c r="F332" s="940"/>
      <c r="G332" s="940"/>
      <c r="H332" s="930" t="s">
        <v>112</v>
      </c>
      <c r="I332" s="947" t="s">
        <v>117</v>
      </c>
      <c r="J332" s="948"/>
      <c r="K332" s="939" t="s">
        <v>123</v>
      </c>
      <c r="L332" s="946"/>
      <c r="M332" s="500"/>
      <c r="O332" s="501"/>
      <c r="P332" s="501"/>
      <c r="S332" s="502"/>
      <c r="T332" s="502"/>
    </row>
    <row r="333" spans="1:20" s="492" customFormat="1" ht="34.5" thickBot="1">
      <c r="A333" s="941"/>
      <c r="B333" s="546" t="s">
        <v>112</v>
      </c>
      <c r="C333" s="535" t="s">
        <v>116</v>
      </c>
      <c r="D333" s="536" t="s">
        <v>118</v>
      </c>
      <c r="E333" s="941"/>
      <c r="F333" s="941"/>
      <c r="G333" s="941"/>
      <c r="H333" s="936"/>
      <c r="I333" s="535" t="s">
        <v>116</v>
      </c>
      <c r="J333" s="537" t="s">
        <v>118</v>
      </c>
      <c r="K333" s="941"/>
      <c r="L333" s="1020"/>
      <c r="M333" s="500"/>
      <c r="O333" s="501"/>
      <c r="P333" s="501"/>
      <c r="S333" s="502"/>
      <c r="T333" s="502"/>
    </row>
    <row r="334" spans="1:17" s="492" customFormat="1" ht="17.25" thickBot="1">
      <c r="A334" s="538">
        <v>2017</v>
      </c>
      <c r="B334" s="618">
        <v>1081923.7</v>
      </c>
      <c r="C334" s="619">
        <v>939879.4</v>
      </c>
      <c r="D334" s="618">
        <v>119694.3</v>
      </c>
      <c r="E334" s="620">
        <v>34585.5</v>
      </c>
      <c r="F334" s="621"/>
      <c r="G334" s="622"/>
      <c r="H334" s="619">
        <v>137300</v>
      </c>
      <c r="I334" s="618">
        <v>62196</v>
      </c>
      <c r="J334" s="619">
        <v>10731.1</v>
      </c>
      <c r="K334" s="618">
        <v>2700</v>
      </c>
      <c r="L334" s="59">
        <f>B334+E334+F334+G334+H334+K334</f>
        <v>1256509.2</v>
      </c>
      <c r="M334" s="503"/>
      <c r="O334" s="502"/>
      <c r="P334" s="502"/>
      <c r="Q334" s="504"/>
    </row>
    <row r="335" spans="1:17" s="492" customFormat="1" ht="17.25" thickBot="1">
      <c r="A335" s="541">
        <v>2018</v>
      </c>
      <c r="B335" s="623">
        <f>B334*1%+B334</f>
        <v>1092742.937</v>
      </c>
      <c r="C335" s="623">
        <f aca="true" t="shared" si="8" ref="C335:K335">C334*1%+C334</f>
        <v>949278.194</v>
      </c>
      <c r="D335" s="623">
        <f t="shared" si="8"/>
        <v>120891.243</v>
      </c>
      <c r="E335" s="623">
        <f t="shared" si="8"/>
        <v>34931.355</v>
      </c>
      <c r="F335" s="623">
        <f t="shared" si="8"/>
        <v>0</v>
      </c>
      <c r="G335" s="623">
        <f t="shared" si="8"/>
        <v>0</v>
      </c>
      <c r="H335" s="623">
        <f t="shared" si="8"/>
        <v>138673</v>
      </c>
      <c r="I335" s="623">
        <f t="shared" si="8"/>
        <v>62817.96</v>
      </c>
      <c r="J335" s="623">
        <f t="shared" si="8"/>
        <v>10838.411</v>
      </c>
      <c r="K335" s="623">
        <f t="shared" si="8"/>
        <v>2727</v>
      </c>
      <c r="L335" s="59">
        <f>B335+E335+F335+G335+H335+K335</f>
        <v>1269074.292</v>
      </c>
      <c r="M335" s="503"/>
      <c r="O335" s="502"/>
      <c r="P335" s="502"/>
      <c r="Q335" s="504"/>
    </row>
    <row r="336" spans="1:17" s="492" customFormat="1" ht="17.25" thickBot="1">
      <c r="A336" s="544">
        <v>2019</v>
      </c>
      <c r="B336" s="623">
        <f>B335*1%+B335</f>
        <v>1103670.36637</v>
      </c>
      <c r="C336" s="623">
        <f aca="true" t="shared" si="9" ref="C336:K336">C335*1%+C335</f>
        <v>958770.97594</v>
      </c>
      <c r="D336" s="623">
        <f t="shared" si="9"/>
        <v>122100.15543</v>
      </c>
      <c r="E336" s="623">
        <f t="shared" si="9"/>
        <v>35280.66855</v>
      </c>
      <c r="F336" s="623">
        <f t="shared" si="9"/>
        <v>0</v>
      </c>
      <c r="G336" s="623">
        <f t="shared" si="9"/>
        <v>0</v>
      </c>
      <c r="H336" s="623">
        <f t="shared" si="9"/>
        <v>140059.73</v>
      </c>
      <c r="I336" s="623">
        <f t="shared" si="9"/>
        <v>63446.1396</v>
      </c>
      <c r="J336" s="623">
        <f t="shared" si="9"/>
        <v>10946.795110000001</v>
      </c>
      <c r="K336" s="623">
        <f t="shared" si="9"/>
        <v>2754.27</v>
      </c>
      <c r="L336" s="59">
        <f>B336+E336+F336+G336+H336+K336</f>
        <v>1281765.03492</v>
      </c>
      <c r="M336" s="503"/>
      <c r="O336" s="502"/>
      <c r="P336" s="502"/>
      <c r="Q336" s="504"/>
    </row>
    <row r="337" spans="1:13" s="492" customFormat="1" ht="16.5">
      <c r="A337" s="508"/>
      <c r="B337" s="508"/>
      <c r="C337" s="508"/>
      <c r="D337" s="508"/>
      <c r="E337" s="508"/>
      <c r="F337" s="508"/>
      <c r="G337" s="508"/>
      <c r="H337" s="508"/>
      <c r="I337" s="508"/>
      <c r="J337" s="508"/>
      <c r="K337" s="508"/>
      <c r="L337" s="508"/>
      <c r="M337" s="491"/>
    </row>
    <row r="338" spans="1:13" s="492" customFormat="1" ht="16.5">
      <c r="A338" s="518" t="s">
        <v>135</v>
      </c>
      <c r="B338" s="508"/>
      <c r="C338" s="508"/>
      <c r="D338" s="508"/>
      <c r="E338" s="508"/>
      <c r="F338" s="508"/>
      <c r="G338" s="508"/>
      <c r="H338" s="508"/>
      <c r="I338" s="508"/>
      <c r="J338" s="508"/>
      <c r="K338" s="508"/>
      <c r="L338" s="508"/>
      <c r="M338" s="491"/>
    </row>
    <row r="339" spans="1:15" s="492" customFormat="1" ht="17.25" thickBot="1">
      <c r="A339" s="1018" t="s">
        <v>389</v>
      </c>
      <c r="B339" s="1018"/>
      <c r="C339" s="1018"/>
      <c r="D339" s="1018"/>
      <c r="E339" s="1018"/>
      <c r="F339" s="1018"/>
      <c r="G339" s="1018"/>
      <c r="H339" s="1018"/>
      <c r="I339" s="1018"/>
      <c r="J339" s="1019"/>
      <c r="K339" s="519"/>
      <c r="L339" s="508"/>
      <c r="M339" s="491"/>
      <c r="O339" s="502"/>
    </row>
    <row r="340" spans="1:12" s="492" customFormat="1" ht="17.25" thickBot="1">
      <c r="A340" s="939" t="s">
        <v>103</v>
      </c>
      <c r="B340" s="930" t="s">
        <v>110</v>
      </c>
      <c r="C340" s="931"/>
      <c r="D340" s="932"/>
      <c r="E340" s="939" t="s">
        <v>106</v>
      </c>
      <c r="F340" s="939" t="s">
        <v>108</v>
      </c>
      <c r="G340" s="942" t="s">
        <v>107</v>
      </c>
      <c r="H340" s="1059"/>
      <c r="I340" s="1059"/>
      <c r="J340" s="1060"/>
      <c r="K340" s="508"/>
      <c r="L340" s="491"/>
    </row>
    <row r="341" spans="1:12" s="492" customFormat="1" ht="17.25" thickBot="1">
      <c r="A341" s="940"/>
      <c r="B341" s="933"/>
      <c r="C341" s="934"/>
      <c r="D341" s="935"/>
      <c r="E341" s="940"/>
      <c r="F341" s="941"/>
      <c r="G341" s="930" t="s">
        <v>109</v>
      </c>
      <c r="H341" s="931"/>
      <c r="I341" s="931"/>
      <c r="J341" s="1061"/>
      <c r="K341" s="508"/>
      <c r="L341" s="491"/>
    </row>
    <row r="342" spans="1:12" s="492" customFormat="1" ht="17.25" thickBot="1">
      <c r="A342" s="940"/>
      <c r="B342" s="933"/>
      <c r="C342" s="934"/>
      <c r="D342" s="935"/>
      <c r="E342" s="940"/>
      <c r="F342" s="547">
        <v>2016</v>
      </c>
      <c r="G342" s="547">
        <v>2017</v>
      </c>
      <c r="H342" s="547">
        <v>2018</v>
      </c>
      <c r="I342" s="548">
        <v>2019</v>
      </c>
      <c r="J342" s="549">
        <v>2020</v>
      </c>
      <c r="K342" s="508"/>
      <c r="L342" s="491"/>
    </row>
    <row r="343" spans="1:12" s="492" customFormat="1" ht="79.5" thickBot="1">
      <c r="A343" s="550" t="s">
        <v>340</v>
      </c>
      <c r="B343" s="1021" t="s">
        <v>358</v>
      </c>
      <c r="C343" s="1022"/>
      <c r="D343" s="1023"/>
      <c r="E343" s="551" t="s">
        <v>170</v>
      </c>
      <c r="F343" s="552">
        <v>3</v>
      </c>
      <c r="G343" s="552">
        <v>24</v>
      </c>
      <c r="H343" s="552">
        <v>18</v>
      </c>
      <c r="I343" s="553">
        <v>10</v>
      </c>
      <c r="J343" s="554">
        <v>10</v>
      </c>
      <c r="K343" s="508"/>
      <c r="L343" s="491"/>
    </row>
    <row r="344" spans="1:13" s="492" customFormat="1" ht="16.5">
      <c r="A344" s="508"/>
      <c r="B344" s="508"/>
      <c r="C344" s="508"/>
      <c r="D344" s="508"/>
      <c r="E344" s="508"/>
      <c r="F344" s="508"/>
      <c r="G344" s="508"/>
      <c r="H344" s="508"/>
      <c r="I344" s="508"/>
      <c r="J344" s="508"/>
      <c r="K344" s="508"/>
      <c r="L344" s="508"/>
      <c r="M344" s="491"/>
    </row>
    <row r="345" spans="1:13" s="492" customFormat="1" ht="16.5">
      <c r="A345" s="518" t="s">
        <v>135</v>
      </c>
      <c r="B345" s="508"/>
      <c r="C345" s="508"/>
      <c r="D345" s="508"/>
      <c r="E345" s="508"/>
      <c r="F345" s="508"/>
      <c r="G345" s="508"/>
      <c r="H345" s="508"/>
      <c r="I345" s="508"/>
      <c r="J345" s="508"/>
      <c r="K345" s="508"/>
      <c r="L345" s="508"/>
      <c r="M345" s="491"/>
    </row>
    <row r="346" spans="1:13" s="492" customFormat="1" ht="17.25" thickBot="1">
      <c r="A346" s="1025" t="s">
        <v>389</v>
      </c>
      <c r="B346" s="1026"/>
      <c r="C346" s="1026"/>
      <c r="D346" s="1026"/>
      <c r="E346" s="1026"/>
      <c r="F346" s="1026"/>
      <c r="G346" s="1027"/>
      <c r="H346" s="1027"/>
      <c r="I346" s="1027"/>
      <c r="J346" s="1027"/>
      <c r="K346" s="508"/>
      <c r="L346" s="508"/>
      <c r="M346" s="491"/>
    </row>
    <row r="347" spans="1:12" s="492" customFormat="1" ht="17.25" customHeight="1" thickBot="1">
      <c r="A347" s="1028" t="s">
        <v>103</v>
      </c>
      <c r="B347" s="1046" t="s">
        <v>110</v>
      </c>
      <c r="C347" s="1047"/>
      <c r="D347" s="1048"/>
      <c r="E347" s="1028" t="s">
        <v>106</v>
      </c>
      <c r="F347" s="939" t="s">
        <v>108</v>
      </c>
      <c r="G347" s="942" t="s">
        <v>107</v>
      </c>
      <c r="H347" s="943"/>
      <c r="I347" s="943"/>
      <c r="J347" s="944"/>
      <c r="K347" s="508"/>
      <c r="L347" s="491"/>
    </row>
    <row r="348" spans="1:12" s="492" customFormat="1" ht="17.25" customHeight="1" thickBot="1">
      <c r="A348" s="1029"/>
      <c r="B348" s="1049"/>
      <c r="C348" s="1050"/>
      <c r="D348" s="1051"/>
      <c r="E348" s="1029"/>
      <c r="F348" s="941"/>
      <c r="G348" s="1055" t="s">
        <v>109</v>
      </c>
      <c r="H348" s="1056"/>
      <c r="I348" s="1056"/>
      <c r="J348" s="1057"/>
      <c r="K348" s="508"/>
      <c r="L348" s="491"/>
    </row>
    <row r="349" spans="1:12" s="492" customFormat="1" ht="17.25" thickBot="1">
      <c r="A349" s="1029"/>
      <c r="B349" s="1049"/>
      <c r="C349" s="1050"/>
      <c r="D349" s="1051"/>
      <c r="E349" s="1029"/>
      <c r="F349" s="547">
        <v>2015</v>
      </c>
      <c r="G349" s="547">
        <v>2016</v>
      </c>
      <c r="H349" s="547">
        <v>2017</v>
      </c>
      <c r="I349" s="548">
        <v>2018</v>
      </c>
      <c r="J349" s="549">
        <v>2019</v>
      </c>
      <c r="K349" s="508"/>
      <c r="L349" s="491"/>
    </row>
    <row r="350" spans="1:12" s="492" customFormat="1" ht="72.75" thickBot="1">
      <c r="A350" s="529" t="s">
        <v>350</v>
      </c>
      <c r="B350" s="1033" t="s">
        <v>368</v>
      </c>
      <c r="C350" s="1034"/>
      <c r="D350" s="1035"/>
      <c r="E350" s="530" t="s">
        <v>246</v>
      </c>
      <c r="F350" s="531">
        <v>26000</v>
      </c>
      <c r="G350" s="532">
        <v>26016</v>
      </c>
      <c r="H350" s="533">
        <v>26020</v>
      </c>
      <c r="I350" s="533">
        <v>26031</v>
      </c>
      <c r="J350" s="534">
        <v>26031</v>
      </c>
      <c r="K350" s="508"/>
      <c r="L350" s="491"/>
    </row>
    <row r="351" spans="1:13" s="492" customFormat="1" ht="16.5">
      <c r="A351" s="508"/>
      <c r="B351" s="508"/>
      <c r="C351" s="508"/>
      <c r="D351" s="508"/>
      <c r="E351" s="508"/>
      <c r="F351" s="508"/>
      <c r="G351" s="508"/>
      <c r="H351" s="508"/>
      <c r="I351" s="508"/>
      <c r="J351" s="508"/>
      <c r="K351" s="508"/>
      <c r="L351" s="508"/>
      <c r="M351" s="491"/>
    </row>
    <row r="352" spans="1:13" s="492" customFormat="1" ht="17.25" thickBot="1">
      <c r="A352" s="507" t="s">
        <v>354</v>
      </c>
      <c r="B352" s="508"/>
      <c r="C352" s="508"/>
      <c r="D352" s="508"/>
      <c r="E352" s="508"/>
      <c r="F352" s="508"/>
      <c r="G352" s="508"/>
      <c r="H352" s="508"/>
      <c r="I352" s="508"/>
      <c r="J352" s="508"/>
      <c r="K352" s="508"/>
      <c r="L352" s="508"/>
      <c r="M352" s="491"/>
    </row>
    <row r="353" spans="1:13" s="492" customFormat="1" ht="24.75" customHeight="1" thickBot="1">
      <c r="A353" s="509" t="s">
        <v>126</v>
      </c>
      <c r="B353" s="1004" t="s">
        <v>369</v>
      </c>
      <c r="C353" s="1005"/>
      <c r="D353" s="1005"/>
      <c r="E353" s="1005"/>
      <c r="F353" s="1005"/>
      <c r="G353" s="1005"/>
      <c r="H353" s="1005"/>
      <c r="I353" s="1005"/>
      <c r="J353" s="1005"/>
      <c r="K353" s="1005"/>
      <c r="L353" s="1006"/>
      <c r="M353" s="493"/>
    </row>
    <row r="354" spans="1:13" s="492" customFormat="1" ht="18.75" customHeight="1" thickBot="1">
      <c r="A354" s="510" t="s">
        <v>127</v>
      </c>
      <c r="B354" s="980" t="s">
        <v>397</v>
      </c>
      <c r="C354" s="981"/>
      <c r="D354" s="981"/>
      <c r="E354" s="981"/>
      <c r="F354" s="981"/>
      <c r="G354" s="981"/>
      <c r="H354" s="981"/>
      <c r="I354" s="981"/>
      <c r="J354" s="981"/>
      <c r="K354" s="981"/>
      <c r="L354" s="982"/>
      <c r="M354" s="494"/>
    </row>
    <row r="355" spans="1:13" s="492" customFormat="1" ht="17.25" thickBot="1">
      <c r="A355" s="511" t="s">
        <v>128</v>
      </c>
      <c r="B355" s="1003" t="s">
        <v>359</v>
      </c>
      <c r="C355" s="1024"/>
      <c r="D355" s="1024"/>
      <c r="E355" s="1024"/>
      <c r="F355" s="1024"/>
      <c r="G355" s="1024"/>
      <c r="H355" s="1024"/>
      <c r="I355" s="1024"/>
      <c r="J355" s="1024"/>
      <c r="K355" s="1024"/>
      <c r="L355" s="1024"/>
      <c r="M355" s="495"/>
    </row>
    <row r="356" spans="1:13" s="492" customFormat="1" ht="24.75" thickBot="1">
      <c r="A356" s="512" t="s">
        <v>104</v>
      </c>
      <c r="B356" s="1002" t="s">
        <v>360</v>
      </c>
      <c r="C356" s="1002"/>
      <c r="D356" s="1002"/>
      <c r="E356" s="1002"/>
      <c r="F356" s="1002"/>
      <c r="G356" s="1002"/>
      <c r="H356" s="1002"/>
      <c r="I356" s="1002"/>
      <c r="J356" s="1002"/>
      <c r="K356" s="1002"/>
      <c r="L356" s="1003"/>
      <c r="M356" s="495"/>
    </row>
    <row r="357" spans="1:13" s="492" customFormat="1" ht="57" customHeight="1" thickBot="1">
      <c r="A357" s="510" t="s">
        <v>130</v>
      </c>
      <c r="B357" s="513" t="s">
        <v>356</v>
      </c>
      <c r="C357" s="1010" t="s">
        <v>131</v>
      </c>
      <c r="D357" s="1006"/>
      <c r="E357" s="514"/>
      <c r="F357" s="1010" t="s">
        <v>132</v>
      </c>
      <c r="G357" s="1005"/>
      <c r="H357" s="1005"/>
      <c r="I357" s="1006"/>
      <c r="J357" s="1011" t="s">
        <v>133</v>
      </c>
      <c r="K357" s="1011"/>
      <c r="L357" s="1011"/>
      <c r="M357" s="496"/>
    </row>
    <row r="358" spans="1:13" s="492" customFormat="1" ht="86.25" customHeight="1" thickBot="1">
      <c r="A358" s="510" t="s">
        <v>134</v>
      </c>
      <c r="B358" s="1007" t="s">
        <v>361</v>
      </c>
      <c r="C358" s="1008"/>
      <c r="D358" s="1008"/>
      <c r="E358" s="1008"/>
      <c r="F358" s="1008"/>
      <c r="G358" s="1008"/>
      <c r="H358" s="1008"/>
      <c r="I358" s="1008"/>
      <c r="J358" s="1008"/>
      <c r="K358" s="1008"/>
      <c r="L358" s="1009"/>
      <c r="M358" s="497"/>
    </row>
    <row r="359" spans="1:13" s="492" customFormat="1" ht="72.75" customHeight="1" thickBot="1">
      <c r="A359" s="510" t="s">
        <v>129</v>
      </c>
      <c r="B359" s="1030" t="s">
        <v>357</v>
      </c>
      <c r="C359" s="1031"/>
      <c r="D359" s="1031"/>
      <c r="E359" s="1031"/>
      <c r="F359" s="1031"/>
      <c r="G359" s="1031"/>
      <c r="H359" s="1031"/>
      <c r="I359" s="1031"/>
      <c r="J359" s="1031"/>
      <c r="K359" s="1031"/>
      <c r="L359" s="1032"/>
      <c r="M359" s="505"/>
    </row>
    <row r="360" spans="1:13" s="492" customFormat="1" ht="16.5">
      <c r="A360" s="515"/>
      <c r="B360" s="508"/>
      <c r="C360" s="508"/>
      <c r="D360" s="508"/>
      <c r="E360" s="508"/>
      <c r="F360" s="508"/>
      <c r="G360" s="508"/>
      <c r="H360" s="508"/>
      <c r="I360" s="508"/>
      <c r="J360" s="508"/>
      <c r="K360" s="508"/>
      <c r="L360" s="508"/>
      <c r="M360" s="491"/>
    </row>
    <row r="361" spans="1:13" s="492" customFormat="1" ht="16.5">
      <c r="A361" s="516" t="s">
        <v>125</v>
      </c>
      <c r="B361" s="508"/>
      <c r="C361" s="508"/>
      <c r="D361" s="508"/>
      <c r="E361" s="508"/>
      <c r="F361" s="508"/>
      <c r="G361" s="508"/>
      <c r="H361" s="508"/>
      <c r="I361" s="508"/>
      <c r="J361" s="508"/>
      <c r="K361" s="508"/>
      <c r="L361" s="508"/>
      <c r="M361" s="491"/>
    </row>
    <row r="362" spans="1:13" s="492" customFormat="1" ht="17.25" thickBot="1">
      <c r="A362" s="1003" t="s">
        <v>362</v>
      </c>
      <c r="B362" s="1024"/>
      <c r="C362" s="1024"/>
      <c r="D362" s="1024"/>
      <c r="E362" s="1024"/>
      <c r="F362" s="1024"/>
      <c r="G362" s="1024"/>
      <c r="H362" s="1024"/>
      <c r="I362" s="1024"/>
      <c r="J362" s="1024"/>
      <c r="K362" s="1024"/>
      <c r="L362" s="517" t="s">
        <v>138</v>
      </c>
      <c r="M362" s="499"/>
    </row>
    <row r="363" spans="1:20" s="492" customFormat="1" ht="17.25" thickBot="1">
      <c r="A363" s="939" t="s">
        <v>111</v>
      </c>
      <c r="B363" s="942" t="s">
        <v>119</v>
      </c>
      <c r="C363" s="943"/>
      <c r="D363" s="943"/>
      <c r="E363" s="944"/>
      <c r="F363" s="939" t="s">
        <v>120</v>
      </c>
      <c r="G363" s="939" t="s">
        <v>121</v>
      </c>
      <c r="H363" s="942" t="s">
        <v>122</v>
      </c>
      <c r="I363" s="943"/>
      <c r="J363" s="943"/>
      <c r="K363" s="944"/>
      <c r="L363" s="945" t="s">
        <v>124</v>
      </c>
      <c r="M363" s="500"/>
      <c r="O363" s="501"/>
      <c r="P363" s="501"/>
      <c r="S363" s="502"/>
      <c r="T363" s="502"/>
    </row>
    <row r="364" spans="1:20" s="492" customFormat="1" ht="17.25" thickBot="1">
      <c r="A364" s="940"/>
      <c r="B364" s="545"/>
      <c r="C364" s="947" t="s">
        <v>117</v>
      </c>
      <c r="D364" s="948"/>
      <c r="E364" s="939" t="s">
        <v>123</v>
      </c>
      <c r="F364" s="940"/>
      <c r="G364" s="940"/>
      <c r="H364" s="930" t="s">
        <v>112</v>
      </c>
      <c r="I364" s="947" t="s">
        <v>117</v>
      </c>
      <c r="J364" s="948"/>
      <c r="K364" s="939" t="s">
        <v>123</v>
      </c>
      <c r="L364" s="946"/>
      <c r="M364" s="500"/>
      <c r="O364" s="501"/>
      <c r="P364" s="501"/>
      <c r="S364" s="502"/>
      <c r="T364" s="502"/>
    </row>
    <row r="365" spans="1:20" s="492" customFormat="1" ht="34.5" thickBot="1">
      <c r="A365" s="941"/>
      <c r="B365" s="546" t="s">
        <v>112</v>
      </c>
      <c r="C365" s="535" t="s">
        <v>116</v>
      </c>
      <c r="D365" s="536" t="s">
        <v>118</v>
      </c>
      <c r="E365" s="941"/>
      <c r="F365" s="941"/>
      <c r="G365" s="941"/>
      <c r="H365" s="936"/>
      <c r="I365" s="535" t="s">
        <v>116</v>
      </c>
      <c r="J365" s="537" t="s">
        <v>118</v>
      </c>
      <c r="K365" s="941"/>
      <c r="L365" s="1020"/>
      <c r="M365" s="500"/>
      <c r="O365" s="501"/>
      <c r="P365" s="501"/>
      <c r="S365" s="502"/>
      <c r="T365" s="502"/>
    </row>
    <row r="366" spans="1:17" s="492" customFormat="1" ht="17.25" thickBot="1">
      <c r="A366" s="538">
        <v>2017</v>
      </c>
      <c r="B366" s="540"/>
      <c r="C366" s="540"/>
      <c r="D366" s="540"/>
      <c r="E366" s="555"/>
      <c r="F366" s="706">
        <v>405936.2</v>
      </c>
      <c r="G366" s="557"/>
      <c r="H366" s="539"/>
      <c r="I366" s="540"/>
      <c r="J366" s="555"/>
      <c r="K366" s="557"/>
      <c r="L366" s="59">
        <f>B366+E366+F366+G366+H366+K366</f>
        <v>405936.2</v>
      </c>
      <c r="M366" s="503"/>
      <c r="P366" s="502"/>
      <c r="Q366" s="502"/>
    </row>
    <row r="367" spans="1:17" s="492" customFormat="1" ht="17.25" thickBot="1">
      <c r="A367" s="541">
        <v>2018</v>
      </c>
      <c r="B367" s="542"/>
      <c r="C367" s="542"/>
      <c r="D367" s="542"/>
      <c r="E367" s="542"/>
      <c r="F367" s="707">
        <v>35010.7</v>
      </c>
      <c r="G367" s="542"/>
      <c r="H367" s="542"/>
      <c r="I367" s="542"/>
      <c r="J367" s="542"/>
      <c r="K367" s="542"/>
      <c r="L367" s="59">
        <f>B367+E367+F367+G367+H367+K367</f>
        <v>35010.7</v>
      </c>
      <c r="M367" s="503"/>
      <c r="Q367" s="502"/>
    </row>
    <row r="368" spans="1:17" s="492" customFormat="1" ht="17.25" thickBot="1">
      <c r="A368" s="544">
        <v>2019</v>
      </c>
      <c r="B368" s="542"/>
      <c r="C368" s="542"/>
      <c r="D368" s="542"/>
      <c r="E368" s="542"/>
      <c r="F368" s="707"/>
      <c r="G368" s="542"/>
      <c r="H368" s="542"/>
      <c r="I368" s="542"/>
      <c r="J368" s="542"/>
      <c r="K368" s="542"/>
      <c r="L368" s="59">
        <f>B368+E368+F368+G368+H368+K368</f>
        <v>0</v>
      </c>
      <c r="M368" s="503"/>
      <c r="Q368" s="502"/>
    </row>
    <row r="369" spans="1:13" s="492" customFormat="1" ht="16.5">
      <c r="A369" s="508"/>
      <c r="B369" s="508"/>
      <c r="C369" s="508"/>
      <c r="D369" s="508"/>
      <c r="E369" s="508"/>
      <c r="F369" s="508"/>
      <c r="G369" s="508"/>
      <c r="H369" s="508"/>
      <c r="I369" s="508"/>
      <c r="J369" s="508"/>
      <c r="K369" s="508"/>
      <c r="L369" s="508"/>
      <c r="M369" s="491"/>
    </row>
    <row r="370" spans="1:13" s="492" customFormat="1" ht="16.5">
      <c r="A370" s="518" t="s">
        <v>135</v>
      </c>
      <c r="B370" s="508"/>
      <c r="C370" s="508"/>
      <c r="D370" s="508"/>
      <c r="E370" s="508"/>
      <c r="F370" s="508"/>
      <c r="G370" s="508"/>
      <c r="H370" s="508"/>
      <c r="I370" s="508"/>
      <c r="J370" s="508"/>
      <c r="K370" s="508"/>
      <c r="L370" s="508"/>
      <c r="M370" s="491"/>
    </row>
    <row r="371" spans="1:13" s="492" customFormat="1" ht="17.25" thickBot="1">
      <c r="A371" s="523" t="str">
        <f>B355</f>
        <v>3.2.  Обновление содержания образования в соответствии с потребностями  рынка труда</v>
      </c>
      <c r="B371" s="524"/>
      <c r="C371" s="524"/>
      <c r="D371" s="524"/>
      <c r="E371" s="508"/>
      <c r="F371" s="508"/>
      <c r="G371" s="508"/>
      <c r="H371" s="508"/>
      <c r="I371" s="508"/>
      <c r="J371" s="508"/>
      <c r="K371" s="508"/>
      <c r="L371" s="508"/>
      <c r="M371" s="491"/>
    </row>
    <row r="372" spans="1:12" s="492" customFormat="1" ht="17.25" thickBot="1">
      <c r="A372" s="939" t="s">
        <v>103</v>
      </c>
      <c r="B372" s="930" t="s">
        <v>110</v>
      </c>
      <c r="C372" s="931"/>
      <c r="D372" s="932"/>
      <c r="E372" s="939" t="s">
        <v>106</v>
      </c>
      <c r="F372" s="939" t="s">
        <v>108</v>
      </c>
      <c r="G372" s="942" t="s">
        <v>107</v>
      </c>
      <c r="H372" s="1059"/>
      <c r="I372" s="1059"/>
      <c r="J372" s="1060"/>
      <c r="K372" s="508"/>
      <c r="L372" s="491"/>
    </row>
    <row r="373" spans="1:12" s="492" customFormat="1" ht="17.25" thickBot="1">
      <c r="A373" s="940"/>
      <c r="B373" s="933"/>
      <c r="C373" s="934"/>
      <c r="D373" s="935"/>
      <c r="E373" s="940"/>
      <c r="F373" s="941"/>
      <c r="G373" s="930" t="s">
        <v>109</v>
      </c>
      <c r="H373" s="931"/>
      <c r="I373" s="931"/>
      <c r="J373" s="1061"/>
      <c r="K373" s="508"/>
      <c r="L373" s="491"/>
    </row>
    <row r="374" spans="1:12" s="492" customFormat="1" ht="17.25" thickBot="1">
      <c r="A374" s="940"/>
      <c r="B374" s="933"/>
      <c r="C374" s="934"/>
      <c r="D374" s="935"/>
      <c r="E374" s="940"/>
      <c r="F374" s="547">
        <v>2016</v>
      </c>
      <c r="G374" s="547">
        <v>2017</v>
      </c>
      <c r="H374" s="547">
        <v>2018</v>
      </c>
      <c r="I374" s="548">
        <v>2019</v>
      </c>
      <c r="J374" s="549">
        <v>2020</v>
      </c>
      <c r="K374" s="508"/>
      <c r="L374" s="491"/>
    </row>
    <row r="375" spans="1:12" s="492" customFormat="1" ht="72.75" thickBot="1">
      <c r="A375" s="525" t="s">
        <v>343</v>
      </c>
      <c r="B375" s="1033" t="s">
        <v>363</v>
      </c>
      <c r="C375" s="1034"/>
      <c r="D375" s="1035"/>
      <c r="E375" s="526" t="s">
        <v>170</v>
      </c>
      <c r="F375" s="528" t="s">
        <v>344</v>
      </c>
      <c r="G375" s="527">
        <v>10</v>
      </c>
      <c r="H375" s="520">
        <v>18</v>
      </c>
      <c r="I375" s="521">
        <v>24</v>
      </c>
      <c r="J375" s="522">
        <v>24</v>
      </c>
      <c r="K375" s="508"/>
      <c r="L375" s="491"/>
    </row>
    <row r="376" spans="1:13" s="492" customFormat="1" ht="16.5">
      <c r="A376" s="508"/>
      <c r="B376" s="508"/>
      <c r="C376" s="508"/>
      <c r="D376" s="508"/>
      <c r="E376" s="508"/>
      <c r="F376" s="508"/>
      <c r="G376" s="508"/>
      <c r="H376" s="508"/>
      <c r="I376" s="508"/>
      <c r="J376" s="508"/>
      <c r="K376" s="508"/>
      <c r="L376" s="508"/>
      <c r="M376" s="491"/>
    </row>
    <row r="377" spans="1:13" s="492" customFormat="1" ht="17.25" thickBot="1">
      <c r="A377" s="507" t="s">
        <v>354</v>
      </c>
      <c r="B377" s="508"/>
      <c r="C377" s="508"/>
      <c r="D377" s="508"/>
      <c r="E377" s="508"/>
      <c r="F377" s="508"/>
      <c r="G377" s="508"/>
      <c r="H377" s="508"/>
      <c r="I377" s="508"/>
      <c r="J377" s="508"/>
      <c r="K377" s="508"/>
      <c r="L377" s="508"/>
      <c r="M377" s="491"/>
    </row>
    <row r="378" spans="1:13" s="492" customFormat="1" ht="24.75" thickBot="1">
      <c r="A378" s="509" t="s">
        <v>126</v>
      </c>
      <c r="B378" s="1006" t="s">
        <v>370</v>
      </c>
      <c r="C378" s="1036"/>
      <c r="D378" s="1036"/>
      <c r="E378" s="1036"/>
      <c r="F378" s="1036"/>
      <c r="G378" s="1036"/>
      <c r="H378" s="1036"/>
      <c r="I378" s="1036"/>
      <c r="J378" s="1036"/>
      <c r="K378" s="1036"/>
      <c r="L378" s="1036"/>
      <c r="M378" s="493"/>
    </row>
    <row r="379" spans="1:13" s="492" customFormat="1" ht="18.75" customHeight="1" thickBot="1">
      <c r="A379" s="510" t="s">
        <v>127</v>
      </c>
      <c r="B379" s="980" t="s">
        <v>397</v>
      </c>
      <c r="C379" s="981"/>
      <c r="D379" s="981"/>
      <c r="E379" s="981"/>
      <c r="F379" s="981"/>
      <c r="G379" s="981"/>
      <c r="H379" s="981"/>
      <c r="I379" s="981"/>
      <c r="J379" s="981"/>
      <c r="K379" s="981"/>
      <c r="L379" s="982"/>
      <c r="M379" s="494"/>
    </row>
    <row r="380" spans="1:13" s="492" customFormat="1" ht="18.75" thickBot="1">
      <c r="A380" s="511" t="s">
        <v>128</v>
      </c>
      <c r="B380" s="1037" t="s">
        <v>364</v>
      </c>
      <c r="C380" s="1038"/>
      <c r="D380" s="1038"/>
      <c r="E380" s="1038"/>
      <c r="F380" s="1038"/>
      <c r="G380" s="1038"/>
      <c r="H380" s="1038"/>
      <c r="I380" s="1038"/>
      <c r="J380" s="1038"/>
      <c r="K380" s="1038"/>
      <c r="L380" s="1039"/>
      <c r="M380" s="506"/>
    </row>
    <row r="381" spans="1:13" s="492" customFormat="1" ht="24.75" thickBot="1">
      <c r="A381" s="512" t="s">
        <v>104</v>
      </c>
      <c r="B381" s="1002" t="s">
        <v>355</v>
      </c>
      <c r="C381" s="1002"/>
      <c r="D381" s="1002"/>
      <c r="E381" s="1002"/>
      <c r="F381" s="1002"/>
      <c r="G381" s="1002"/>
      <c r="H381" s="1002"/>
      <c r="I381" s="1002"/>
      <c r="J381" s="1002"/>
      <c r="K381" s="1002"/>
      <c r="L381" s="1003"/>
      <c r="M381" s="495"/>
    </row>
    <row r="382" spans="1:13" s="492" customFormat="1" ht="56.25" customHeight="1" thickBot="1">
      <c r="A382" s="510" t="s">
        <v>130</v>
      </c>
      <c r="B382" s="508"/>
      <c r="C382" s="1010" t="s">
        <v>131</v>
      </c>
      <c r="D382" s="1006"/>
      <c r="E382" s="513" t="s">
        <v>356</v>
      </c>
      <c r="F382" s="1010" t="s">
        <v>132</v>
      </c>
      <c r="G382" s="1005"/>
      <c r="H382" s="1005"/>
      <c r="I382" s="1006"/>
      <c r="J382" s="1011" t="s">
        <v>133</v>
      </c>
      <c r="K382" s="1011"/>
      <c r="L382" s="1011"/>
      <c r="M382" s="496"/>
    </row>
    <row r="383" spans="1:13" s="492" customFormat="1" ht="114.75" customHeight="1" thickBot="1">
      <c r="A383" s="510" t="s">
        <v>134</v>
      </c>
      <c r="B383" s="1007" t="s">
        <v>365</v>
      </c>
      <c r="C383" s="1008"/>
      <c r="D383" s="1008"/>
      <c r="E383" s="1008"/>
      <c r="F383" s="1008"/>
      <c r="G383" s="1008"/>
      <c r="H383" s="1008"/>
      <c r="I383" s="1008"/>
      <c r="J383" s="1008"/>
      <c r="K383" s="1008"/>
      <c r="L383" s="1009"/>
      <c r="M383" s="497"/>
    </row>
    <row r="384" spans="1:13" s="492" customFormat="1" ht="62.25" customHeight="1" thickBot="1">
      <c r="A384" s="510" t="s">
        <v>129</v>
      </c>
      <c r="B384" s="1030" t="s">
        <v>357</v>
      </c>
      <c r="C384" s="1031"/>
      <c r="D384" s="1031"/>
      <c r="E384" s="1031"/>
      <c r="F384" s="1031"/>
      <c r="G384" s="1031"/>
      <c r="H384" s="1031"/>
      <c r="I384" s="1031"/>
      <c r="J384" s="1031"/>
      <c r="K384" s="1031"/>
      <c r="L384" s="1032"/>
      <c r="M384" s="505"/>
    </row>
    <row r="385" spans="1:13" s="492" customFormat="1" ht="16.5">
      <c r="A385" s="515"/>
      <c r="B385" s="508"/>
      <c r="C385" s="508"/>
      <c r="D385" s="508"/>
      <c r="E385" s="508"/>
      <c r="F385" s="508"/>
      <c r="G385" s="508"/>
      <c r="H385" s="508"/>
      <c r="I385" s="508"/>
      <c r="J385" s="508"/>
      <c r="K385" s="508"/>
      <c r="L385" s="508"/>
      <c r="M385" s="491"/>
    </row>
    <row r="386" spans="1:13" s="492" customFormat="1" ht="16.5">
      <c r="A386" s="516" t="s">
        <v>125</v>
      </c>
      <c r="B386" s="508"/>
      <c r="C386" s="508"/>
      <c r="D386" s="508"/>
      <c r="E386" s="508"/>
      <c r="F386" s="508"/>
      <c r="G386" s="508"/>
      <c r="H386" s="508"/>
      <c r="I386" s="508"/>
      <c r="J386" s="508"/>
      <c r="K386" s="508"/>
      <c r="L386" s="508"/>
      <c r="M386" s="491"/>
    </row>
    <row r="387" spans="1:13" s="492" customFormat="1" ht="17.25" thickBot="1">
      <c r="A387" s="1043" t="s">
        <v>366</v>
      </c>
      <c r="B387" s="1044"/>
      <c r="C387" s="1044"/>
      <c r="D387" s="1044"/>
      <c r="E387" s="1044"/>
      <c r="F387" s="1044"/>
      <c r="G387" s="1044"/>
      <c r="H387" s="1044"/>
      <c r="I387" s="1044"/>
      <c r="J387" s="1044"/>
      <c r="K387" s="1045"/>
      <c r="L387" s="517" t="s">
        <v>138</v>
      </c>
      <c r="M387" s="499"/>
    </row>
    <row r="388" spans="1:20" s="492" customFormat="1" ht="17.25" thickBot="1">
      <c r="A388" s="939" t="s">
        <v>111</v>
      </c>
      <c r="B388" s="942" t="s">
        <v>119</v>
      </c>
      <c r="C388" s="943"/>
      <c r="D388" s="943"/>
      <c r="E388" s="944"/>
      <c r="F388" s="939" t="s">
        <v>120</v>
      </c>
      <c r="G388" s="939" t="s">
        <v>121</v>
      </c>
      <c r="H388" s="942" t="s">
        <v>122</v>
      </c>
      <c r="I388" s="943"/>
      <c r="J388" s="943"/>
      <c r="K388" s="944"/>
      <c r="L388" s="945" t="s">
        <v>124</v>
      </c>
      <c r="M388" s="500"/>
      <c r="O388" s="501"/>
      <c r="P388" s="501"/>
      <c r="S388" s="502"/>
      <c r="T388" s="502"/>
    </row>
    <row r="389" spans="1:20" s="492" customFormat="1" ht="17.25" thickBot="1">
      <c r="A389" s="940"/>
      <c r="B389" s="545"/>
      <c r="C389" s="947" t="s">
        <v>117</v>
      </c>
      <c r="D389" s="948"/>
      <c r="E389" s="939" t="s">
        <v>123</v>
      </c>
      <c r="F389" s="940"/>
      <c r="G389" s="940"/>
      <c r="H389" s="930" t="s">
        <v>112</v>
      </c>
      <c r="I389" s="947" t="s">
        <v>117</v>
      </c>
      <c r="J389" s="948"/>
      <c r="K389" s="939" t="s">
        <v>123</v>
      </c>
      <c r="L389" s="946"/>
      <c r="M389" s="500"/>
      <c r="O389" s="501"/>
      <c r="P389" s="501"/>
      <c r="S389" s="502"/>
      <c r="T389" s="502"/>
    </row>
    <row r="390" spans="1:20" s="492" customFormat="1" ht="34.5" thickBot="1">
      <c r="A390" s="941"/>
      <c r="B390" s="546" t="s">
        <v>112</v>
      </c>
      <c r="C390" s="535" t="s">
        <v>116</v>
      </c>
      <c r="D390" s="536" t="s">
        <v>118</v>
      </c>
      <c r="E390" s="941"/>
      <c r="F390" s="941"/>
      <c r="G390" s="941"/>
      <c r="H390" s="936"/>
      <c r="I390" s="535" t="s">
        <v>116</v>
      </c>
      <c r="J390" s="537" t="s">
        <v>118</v>
      </c>
      <c r="K390" s="941"/>
      <c r="L390" s="1020"/>
      <c r="M390" s="500"/>
      <c r="O390" s="501"/>
      <c r="P390" s="501"/>
      <c r="S390" s="502"/>
      <c r="T390" s="502"/>
    </row>
    <row r="391" spans="1:17" s="492" customFormat="1" ht="17.25" thickBot="1">
      <c r="A391" s="538">
        <v>2017</v>
      </c>
      <c r="B391" s="558"/>
      <c r="C391" s="542"/>
      <c r="D391" s="543"/>
      <c r="E391" s="556"/>
      <c r="F391" s="556"/>
      <c r="G391" s="706">
        <v>123817.8</v>
      </c>
      <c r="H391" s="556"/>
      <c r="I391" s="556"/>
      <c r="J391" s="556"/>
      <c r="K391" s="557"/>
      <c r="L391" s="59"/>
      <c r="M391" s="503"/>
      <c r="Q391" s="502"/>
    </row>
    <row r="392" spans="1:17" s="492" customFormat="1" ht="17.25" thickBot="1">
      <c r="A392" s="541">
        <v>2018</v>
      </c>
      <c r="B392" s="542"/>
      <c r="C392" s="542"/>
      <c r="D392" s="542"/>
      <c r="E392" s="542"/>
      <c r="F392" s="542"/>
      <c r="G392" s="707">
        <v>10740</v>
      </c>
      <c r="H392" s="542"/>
      <c r="I392" s="542"/>
      <c r="J392" s="542"/>
      <c r="K392" s="542"/>
      <c r="L392" s="59"/>
      <c r="M392" s="503"/>
      <c r="Q392" s="502"/>
    </row>
    <row r="393" spans="1:17" s="492" customFormat="1" ht="17.25" thickBot="1">
      <c r="A393" s="544">
        <v>2019</v>
      </c>
      <c r="B393" s="542"/>
      <c r="C393" s="542"/>
      <c r="D393" s="542"/>
      <c r="E393" s="542"/>
      <c r="F393" s="542"/>
      <c r="G393" s="707">
        <v>0</v>
      </c>
      <c r="H393" s="542"/>
      <c r="I393" s="542"/>
      <c r="J393" s="542"/>
      <c r="K393" s="542"/>
      <c r="L393" s="59"/>
      <c r="M393" s="503"/>
      <c r="Q393" s="502"/>
    </row>
    <row r="394" spans="1:13" s="492" customFormat="1" ht="16.5">
      <c r="A394" s="508"/>
      <c r="B394" s="508"/>
      <c r="C394" s="508"/>
      <c r="D394" s="508"/>
      <c r="E394" s="508"/>
      <c r="F394" s="508"/>
      <c r="G394" s="508"/>
      <c r="H394" s="508"/>
      <c r="I394" s="508"/>
      <c r="J394" s="508"/>
      <c r="K394" s="508"/>
      <c r="L394" s="508"/>
      <c r="M394" s="491"/>
    </row>
    <row r="395" spans="1:13" s="492" customFormat="1" ht="16.5">
      <c r="A395" s="518" t="s">
        <v>135</v>
      </c>
      <c r="B395" s="508"/>
      <c r="C395" s="508"/>
      <c r="D395" s="508"/>
      <c r="E395" s="508"/>
      <c r="F395" s="508"/>
      <c r="G395" s="508"/>
      <c r="H395" s="508"/>
      <c r="I395" s="508"/>
      <c r="J395" s="508"/>
      <c r="K395" s="508"/>
      <c r="L395" s="508"/>
      <c r="M395" s="491"/>
    </row>
    <row r="396" spans="1:13" s="492" customFormat="1" ht="17.25" thickBot="1">
      <c r="A396" s="1040" t="str">
        <f>A387</f>
        <v>3.3. Создание  эффективной системы управления и финансирования ПТО, в том числе  IT технологий </v>
      </c>
      <c r="B396" s="1041"/>
      <c r="C396" s="1041"/>
      <c r="D396" s="1041"/>
      <c r="E396" s="1041"/>
      <c r="F396" s="1041"/>
      <c r="G396" s="1042"/>
      <c r="H396" s="1042"/>
      <c r="I396" s="1042"/>
      <c r="J396" s="1042"/>
      <c r="K396" s="508"/>
      <c r="L396" s="508"/>
      <c r="M396" s="491"/>
    </row>
    <row r="397" spans="1:12" s="492" customFormat="1" ht="17.25" customHeight="1" thickBot="1">
      <c r="A397" s="1028" t="s">
        <v>103</v>
      </c>
      <c r="B397" s="1046" t="s">
        <v>110</v>
      </c>
      <c r="C397" s="1047"/>
      <c r="D397" s="1048"/>
      <c r="E397" s="1028" t="s">
        <v>106</v>
      </c>
      <c r="F397" s="939" t="s">
        <v>108</v>
      </c>
      <c r="G397" s="942" t="s">
        <v>107</v>
      </c>
      <c r="H397" s="943"/>
      <c r="I397" s="943"/>
      <c r="J397" s="944"/>
      <c r="K397" s="508"/>
      <c r="L397" s="491"/>
    </row>
    <row r="398" spans="1:12" s="492" customFormat="1" ht="17.25" customHeight="1" thickBot="1">
      <c r="A398" s="1029"/>
      <c r="B398" s="1049"/>
      <c r="C398" s="1050"/>
      <c r="D398" s="1051"/>
      <c r="E398" s="1029"/>
      <c r="F398" s="941"/>
      <c r="G398" s="1055" t="s">
        <v>109</v>
      </c>
      <c r="H398" s="1056"/>
      <c r="I398" s="1056"/>
      <c r="J398" s="1057"/>
      <c r="K398" s="508"/>
      <c r="L398" s="491"/>
    </row>
    <row r="399" spans="1:12" s="492" customFormat="1" ht="17.25" thickBot="1">
      <c r="A399" s="1058"/>
      <c r="B399" s="1052"/>
      <c r="C399" s="1053"/>
      <c r="D399" s="1054"/>
      <c r="E399" s="1058"/>
      <c r="F399" s="547">
        <v>2016</v>
      </c>
      <c r="G399" s="547">
        <v>2017</v>
      </c>
      <c r="H399" s="547">
        <v>2018</v>
      </c>
      <c r="I399" s="548">
        <v>2019</v>
      </c>
      <c r="J399" s="549">
        <v>2020</v>
      </c>
      <c r="K399" s="508"/>
      <c r="L399" s="491"/>
    </row>
    <row r="400" spans="1:12" s="492" customFormat="1" ht="57" thickBot="1">
      <c r="A400" s="559" t="s">
        <v>347</v>
      </c>
      <c r="B400" s="1021" t="s">
        <v>367</v>
      </c>
      <c r="C400" s="1022"/>
      <c r="D400" s="1023"/>
      <c r="E400" s="551" t="s">
        <v>149</v>
      </c>
      <c r="F400" s="560">
        <v>10</v>
      </c>
      <c r="G400" s="560">
        <v>20</v>
      </c>
      <c r="H400" s="560">
        <v>40</v>
      </c>
      <c r="I400" s="561">
        <v>50</v>
      </c>
      <c r="J400" s="562">
        <v>50</v>
      </c>
      <c r="K400" s="508"/>
      <c r="L400" s="491"/>
    </row>
    <row r="401" spans="1:13" s="492" customFormat="1" ht="16.5">
      <c r="A401" s="508"/>
      <c r="B401" s="508"/>
      <c r="C401" s="508"/>
      <c r="D401" s="508"/>
      <c r="E401" s="508"/>
      <c r="F401" s="508"/>
      <c r="G401" s="508"/>
      <c r="H401" s="508"/>
      <c r="I401" s="508"/>
      <c r="J401" s="508"/>
      <c r="K401" s="508"/>
      <c r="L401" s="508"/>
      <c r="M401" s="491"/>
    </row>
    <row r="402" ht="24" customHeight="1" thickBot="1">
      <c r="A402" s="32">
        <v>11</v>
      </c>
    </row>
    <row r="403" spans="1:12" ht="24" customHeight="1" thickBot="1">
      <c r="A403" s="33" t="s">
        <v>126</v>
      </c>
      <c r="B403" s="959" t="s">
        <v>242</v>
      </c>
      <c r="C403" s="950"/>
      <c r="D403" s="950"/>
      <c r="E403" s="950"/>
      <c r="F403" s="950"/>
      <c r="G403" s="950"/>
      <c r="H403" s="950"/>
      <c r="I403" s="950"/>
      <c r="J403" s="950"/>
      <c r="K403" s="950"/>
      <c r="L403" s="950"/>
    </row>
    <row r="404" spans="1:12" ht="20.25" customHeight="1" thickBot="1">
      <c r="A404" s="34" t="s">
        <v>127</v>
      </c>
      <c r="B404" s="980" t="s">
        <v>397</v>
      </c>
      <c r="C404" s="981"/>
      <c r="D404" s="981"/>
      <c r="E404" s="981"/>
      <c r="F404" s="981"/>
      <c r="G404" s="981"/>
      <c r="H404" s="981"/>
      <c r="I404" s="981"/>
      <c r="J404" s="981"/>
      <c r="K404" s="981"/>
      <c r="L404" s="982"/>
    </row>
    <row r="405" spans="1:12" ht="28.5" customHeight="1" thickBot="1">
      <c r="A405" s="35" t="s">
        <v>128</v>
      </c>
      <c r="B405" s="949" t="s">
        <v>13</v>
      </c>
      <c r="C405" s="950"/>
      <c r="D405" s="950"/>
      <c r="E405" s="950"/>
      <c r="F405" s="950"/>
      <c r="G405" s="950"/>
      <c r="H405" s="950"/>
      <c r="I405" s="950"/>
      <c r="J405" s="950"/>
      <c r="K405" s="950"/>
      <c r="L405" s="950"/>
    </row>
    <row r="406" spans="1:12" ht="29.25" customHeight="1" thickBot="1">
      <c r="A406" s="36" t="s">
        <v>104</v>
      </c>
      <c r="B406" s="958" t="s">
        <v>81</v>
      </c>
      <c r="C406" s="958"/>
      <c r="D406" s="958"/>
      <c r="E406" s="958"/>
      <c r="F406" s="958"/>
      <c r="G406" s="958"/>
      <c r="H406" s="958"/>
      <c r="I406" s="958"/>
      <c r="J406" s="958"/>
      <c r="K406" s="958"/>
      <c r="L406" s="959"/>
    </row>
    <row r="407" spans="1:12" s="37" customFormat="1" ht="53.25" customHeight="1" thickBot="1">
      <c r="A407" s="34" t="s">
        <v>130</v>
      </c>
      <c r="B407" s="47" t="s">
        <v>243</v>
      </c>
      <c r="C407" s="960" t="s">
        <v>131</v>
      </c>
      <c r="D407" s="961"/>
      <c r="E407" s="47"/>
      <c r="F407" s="962" t="s">
        <v>132</v>
      </c>
      <c r="G407" s="952"/>
      <c r="H407" s="952"/>
      <c r="I407" s="963"/>
      <c r="J407" s="967" t="s">
        <v>133</v>
      </c>
      <c r="K407" s="967"/>
      <c r="L407" s="967"/>
    </row>
    <row r="408" spans="1:12" ht="65.25" customHeight="1" thickBot="1">
      <c r="A408" s="34" t="s">
        <v>134</v>
      </c>
      <c r="B408" s="968" t="s">
        <v>80</v>
      </c>
      <c r="C408" s="969"/>
      <c r="D408" s="969"/>
      <c r="E408" s="969"/>
      <c r="F408" s="969"/>
      <c r="G408" s="969"/>
      <c r="H408" s="969"/>
      <c r="I408" s="969"/>
      <c r="J408" s="969"/>
      <c r="K408" s="969"/>
      <c r="L408" s="969"/>
    </row>
    <row r="409" spans="1:12" ht="51" customHeight="1" thickBot="1">
      <c r="A409" s="34" t="s">
        <v>129</v>
      </c>
      <c r="B409" s="970" t="s">
        <v>426</v>
      </c>
      <c r="C409" s="971"/>
      <c r="D409" s="971"/>
      <c r="E409" s="971"/>
      <c r="F409" s="971"/>
      <c r="G409" s="971"/>
      <c r="H409" s="971"/>
      <c r="I409" s="971"/>
      <c r="J409" s="971"/>
      <c r="K409" s="971"/>
      <c r="L409" s="971"/>
    </row>
    <row r="410" ht="20.25" customHeight="1"/>
    <row r="411" ht="20.25" customHeight="1">
      <c r="A411" s="38" t="s">
        <v>125</v>
      </c>
    </row>
    <row r="412" spans="1:12" ht="36" customHeight="1" thickBot="1">
      <c r="A412" s="949" t="s">
        <v>13</v>
      </c>
      <c r="B412" s="950"/>
      <c r="C412" s="950"/>
      <c r="D412" s="950"/>
      <c r="E412" s="950"/>
      <c r="F412" s="950"/>
      <c r="G412" s="950"/>
      <c r="H412" s="950"/>
      <c r="I412" s="950"/>
      <c r="J412" s="950"/>
      <c r="K412" s="950"/>
      <c r="L412" s="57" t="s">
        <v>138</v>
      </c>
    </row>
    <row r="413" spans="1:12" ht="13.5" customHeight="1" thickBot="1">
      <c r="A413" s="927" t="s">
        <v>5</v>
      </c>
      <c r="B413" s="964" t="s">
        <v>119</v>
      </c>
      <c r="C413" s="965"/>
      <c r="D413" s="965"/>
      <c r="E413" s="965"/>
      <c r="F413" s="939" t="s">
        <v>120</v>
      </c>
      <c r="G413" s="939" t="s">
        <v>121</v>
      </c>
      <c r="H413" s="942" t="s">
        <v>122</v>
      </c>
      <c r="I413" s="943"/>
      <c r="J413" s="943"/>
      <c r="K413" s="943"/>
      <c r="L413" s="945" t="s">
        <v>124</v>
      </c>
    </row>
    <row r="414" spans="1:12" ht="13.5" customHeight="1" thickBot="1">
      <c r="A414" s="928"/>
      <c r="B414" s="48"/>
      <c r="C414" s="947" t="s">
        <v>117</v>
      </c>
      <c r="D414" s="948"/>
      <c r="E414" s="930" t="s">
        <v>123</v>
      </c>
      <c r="F414" s="940"/>
      <c r="G414" s="940"/>
      <c r="H414" s="930" t="s">
        <v>112</v>
      </c>
      <c r="I414" s="947" t="s">
        <v>117</v>
      </c>
      <c r="J414" s="948"/>
      <c r="K414" s="930" t="s">
        <v>123</v>
      </c>
      <c r="L414" s="946"/>
    </row>
    <row r="415" spans="1:12" ht="43.5" customHeight="1" thickBot="1">
      <c r="A415" s="929"/>
      <c r="B415" s="49" t="s">
        <v>112</v>
      </c>
      <c r="C415" s="50" t="s">
        <v>116</v>
      </c>
      <c r="D415" s="51" t="s">
        <v>118</v>
      </c>
      <c r="E415" s="936"/>
      <c r="F415" s="941"/>
      <c r="G415" s="941"/>
      <c r="H415" s="941"/>
      <c r="I415" s="50" t="s">
        <v>116</v>
      </c>
      <c r="J415" s="51" t="s">
        <v>118</v>
      </c>
      <c r="K415" s="936"/>
      <c r="L415" s="946"/>
    </row>
    <row r="416" spans="1:15" ht="20.25" customHeight="1" thickBot="1">
      <c r="A416" s="39">
        <v>2017</v>
      </c>
      <c r="B416" s="52">
        <v>207249.8</v>
      </c>
      <c r="C416" s="52">
        <v>156164.9</v>
      </c>
      <c r="D416" s="52">
        <v>26938.4</v>
      </c>
      <c r="E416" s="52"/>
      <c r="F416" s="52"/>
      <c r="G416" s="52"/>
      <c r="H416" s="52"/>
      <c r="I416" s="52"/>
      <c r="J416" s="52"/>
      <c r="K416" s="58"/>
      <c r="L416" s="59">
        <f>B416+H416+K416</f>
        <v>207249.8</v>
      </c>
      <c r="M416" s="218" t="e">
        <f>C416+#REF!+#REF!</f>
        <v>#REF!</v>
      </c>
      <c r="N416" s="218" t="e">
        <f>D416+#REF!+#REF!</f>
        <v>#REF!</v>
      </c>
      <c r="O416" s="219"/>
    </row>
    <row r="417" spans="1:15" ht="21.75" customHeight="1" thickBot="1">
      <c r="A417" s="39">
        <v>2018</v>
      </c>
      <c r="B417" s="52">
        <f aca="true" t="shared" si="10" ref="B417:D418">B416*1%+B416</f>
        <v>209322.29799999998</v>
      </c>
      <c r="C417" s="52">
        <f t="shared" si="10"/>
        <v>157726.549</v>
      </c>
      <c r="D417" s="52">
        <f t="shared" si="10"/>
        <v>27207.784</v>
      </c>
      <c r="E417" s="52"/>
      <c r="F417" s="52"/>
      <c r="G417" s="52"/>
      <c r="H417" s="52"/>
      <c r="I417" s="52"/>
      <c r="J417" s="52"/>
      <c r="K417" s="58"/>
      <c r="L417" s="59">
        <f>B417+H417+K417</f>
        <v>209322.29799999998</v>
      </c>
      <c r="M417" s="218" t="e">
        <f>C417+#REF!+#REF!</f>
        <v>#REF!</v>
      </c>
      <c r="N417" s="218" t="e">
        <f>D417+#REF!+#REF!</f>
        <v>#REF!</v>
      </c>
      <c r="O417" s="219"/>
    </row>
    <row r="418" spans="1:15" ht="23.25" customHeight="1" thickBot="1">
      <c r="A418" s="40">
        <v>2019</v>
      </c>
      <c r="B418" s="52">
        <f t="shared" si="10"/>
        <v>211415.52097999997</v>
      </c>
      <c r="C418" s="52">
        <f t="shared" si="10"/>
        <v>159303.81449</v>
      </c>
      <c r="D418" s="52">
        <f t="shared" si="10"/>
        <v>27479.86184</v>
      </c>
      <c r="E418" s="52"/>
      <c r="F418" s="52"/>
      <c r="G418" s="52"/>
      <c r="H418" s="52"/>
      <c r="I418" s="52"/>
      <c r="J418" s="52"/>
      <c r="K418" s="58"/>
      <c r="L418" s="59">
        <f>B418+H418+K418</f>
        <v>211415.52097999997</v>
      </c>
      <c r="M418" s="218" t="e">
        <f>C418+#REF!+#REF!</f>
        <v>#REF!</v>
      </c>
      <c r="N418" s="218" t="e">
        <f>D418+#REF!+#REF!</f>
        <v>#REF!</v>
      </c>
      <c r="O418" s="219"/>
    </row>
    <row r="419" spans="13:15" ht="12">
      <c r="M419" s="219"/>
      <c r="N419" s="219"/>
      <c r="O419" s="219"/>
    </row>
    <row r="420" ht="12">
      <c r="A420" s="41" t="s">
        <v>135</v>
      </c>
    </row>
    <row r="421" spans="1:11" ht="27.75" customHeight="1" thickBot="1">
      <c r="A421" s="949" t="s">
        <v>13</v>
      </c>
      <c r="B421" s="950"/>
      <c r="C421" s="950"/>
      <c r="D421" s="950"/>
      <c r="E421" s="950"/>
      <c r="F421" s="950"/>
      <c r="G421" s="950"/>
      <c r="H421" s="950"/>
      <c r="I421" s="950"/>
      <c r="J421" s="950"/>
      <c r="K421" s="950"/>
    </row>
    <row r="422" spans="1:10" ht="36.75" customHeight="1" thickBot="1">
      <c r="A422" s="927" t="s">
        <v>103</v>
      </c>
      <c r="B422" s="930" t="s">
        <v>110</v>
      </c>
      <c r="C422" s="931"/>
      <c r="D422" s="932"/>
      <c r="E422" s="939" t="s">
        <v>106</v>
      </c>
      <c r="F422" s="939" t="s">
        <v>108</v>
      </c>
      <c r="G422" s="942" t="s">
        <v>107</v>
      </c>
      <c r="H422" s="943"/>
      <c r="I422" s="943"/>
      <c r="J422" s="944"/>
    </row>
    <row r="423" spans="1:10" ht="13.5" customHeight="1" thickBot="1">
      <c r="A423" s="928"/>
      <c r="B423" s="933"/>
      <c r="C423" s="934"/>
      <c r="D423" s="935"/>
      <c r="E423" s="940"/>
      <c r="F423" s="941"/>
      <c r="G423" s="54"/>
      <c r="H423" s="942" t="s">
        <v>109</v>
      </c>
      <c r="I423" s="943"/>
      <c r="J423" s="944"/>
    </row>
    <row r="424" spans="1:10" ht="12.75" thickBot="1">
      <c r="A424" s="929"/>
      <c r="B424" s="936"/>
      <c r="C424" s="937"/>
      <c r="D424" s="938"/>
      <c r="E424" s="941"/>
      <c r="F424" s="53">
        <v>2016</v>
      </c>
      <c r="G424" s="53">
        <v>2017</v>
      </c>
      <c r="H424" s="53">
        <v>2018</v>
      </c>
      <c r="I424" s="53">
        <v>2019</v>
      </c>
      <c r="J424" s="53">
        <v>2020</v>
      </c>
    </row>
    <row r="425" spans="1:10" ht="129.75" customHeight="1" thickBot="1">
      <c r="A425" s="45" t="s">
        <v>211</v>
      </c>
      <c r="B425" s="954" t="s">
        <v>262</v>
      </c>
      <c r="C425" s="955"/>
      <c r="D425" s="956"/>
      <c r="E425" s="71" t="s">
        <v>149</v>
      </c>
      <c r="F425" s="64">
        <v>42</v>
      </c>
      <c r="G425" s="64">
        <v>42</v>
      </c>
      <c r="H425" s="65">
        <v>45</v>
      </c>
      <c r="I425" s="70">
        <v>45</v>
      </c>
      <c r="J425" s="70">
        <v>45</v>
      </c>
    </row>
    <row r="426" ht="12"/>
    <row r="427" ht="24" customHeight="1" thickBot="1">
      <c r="A427" s="32">
        <v>13</v>
      </c>
    </row>
    <row r="428" spans="1:12" ht="24" customHeight="1" thickBot="1">
      <c r="A428" s="33" t="s">
        <v>126</v>
      </c>
      <c r="B428" s="959" t="s">
        <v>242</v>
      </c>
      <c r="C428" s="950"/>
      <c r="D428" s="950"/>
      <c r="E428" s="950"/>
      <c r="F428" s="950"/>
      <c r="G428" s="950"/>
      <c r="H428" s="950"/>
      <c r="I428" s="950"/>
      <c r="J428" s="950"/>
      <c r="K428" s="950"/>
      <c r="L428" s="950"/>
    </row>
    <row r="429" spans="1:12" ht="20.25" customHeight="1" thickBot="1">
      <c r="A429" s="34" t="s">
        <v>127</v>
      </c>
      <c r="B429" s="980" t="s">
        <v>397</v>
      </c>
      <c r="C429" s="981"/>
      <c r="D429" s="981"/>
      <c r="E429" s="981"/>
      <c r="F429" s="981"/>
      <c r="G429" s="981"/>
      <c r="H429" s="981"/>
      <c r="I429" s="981"/>
      <c r="J429" s="981"/>
      <c r="K429" s="981"/>
      <c r="L429" s="982"/>
    </row>
    <row r="430" spans="1:12" ht="62.25" customHeight="1" thickBot="1">
      <c r="A430" s="35" t="s">
        <v>128</v>
      </c>
      <c r="B430" s="949" t="s">
        <v>391</v>
      </c>
      <c r="C430" s="950"/>
      <c r="D430" s="950"/>
      <c r="E430" s="950"/>
      <c r="F430" s="950"/>
      <c r="G430" s="950"/>
      <c r="H430" s="950"/>
      <c r="I430" s="950"/>
      <c r="J430" s="950"/>
      <c r="K430" s="950"/>
      <c r="L430" s="950"/>
    </row>
    <row r="431" spans="1:12" ht="29.25" customHeight="1" thickBot="1">
      <c r="A431" s="36" t="s">
        <v>104</v>
      </c>
      <c r="B431" s="958" t="s">
        <v>3</v>
      </c>
      <c r="C431" s="958"/>
      <c r="D431" s="958"/>
      <c r="E431" s="958"/>
      <c r="F431" s="958"/>
      <c r="G431" s="958"/>
      <c r="H431" s="958"/>
      <c r="I431" s="958"/>
      <c r="J431" s="958"/>
      <c r="K431" s="958"/>
      <c r="L431" s="959"/>
    </row>
    <row r="432" spans="1:12" s="37" customFormat="1" ht="41.25" customHeight="1" thickBot="1">
      <c r="A432" s="34" t="s">
        <v>130</v>
      </c>
      <c r="B432" s="47" t="s">
        <v>243</v>
      </c>
      <c r="C432" s="960" t="s">
        <v>131</v>
      </c>
      <c r="D432" s="961"/>
      <c r="E432" s="47"/>
      <c r="F432" s="962" t="s">
        <v>132</v>
      </c>
      <c r="G432" s="952"/>
      <c r="H432" s="952"/>
      <c r="I432" s="963"/>
      <c r="J432" s="967" t="s">
        <v>133</v>
      </c>
      <c r="K432" s="967"/>
      <c r="L432" s="967"/>
    </row>
    <row r="433" spans="1:12" ht="138" customHeight="1" thickBot="1">
      <c r="A433" s="34" t="s">
        <v>134</v>
      </c>
      <c r="B433" s="968" t="s">
        <v>392</v>
      </c>
      <c r="C433" s="969"/>
      <c r="D433" s="969"/>
      <c r="E433" s="969"/>
      <c r="F433" s="969"/>
      <c r="G433" s="969"/>
      <c r="H433" s="969"/>
      <c r="I433" s="969"/>
      <c r="J433" s="969"/>
      <c r="K433" s="969"/>
      <c r="L433" s="969"/>
    </row>
    <row r="434" spans="1:12" ht="51" customHeight="1" thickBot="1">
      <c r="A434" s="34" t="s">
        <v>129</v>
      </c>
      <c r="B434" s="970" t="s">
        <v>426</v>
      </c>
      <c r="C434" s="971"/>
      <c r="D434" s="971"/>
      <c r="E434" s="971"/>
      <c r="F434" s="971"/>
      <c r="G434" s="971"/>
      <c r="H434" s="971"/>
      <c r="I434" s="971"/>
      <c r="J434" s="971"/>
      <c r="K434" s="971"/>
      <c r="L434" s="971"/>
    </row>
    <row r="435" ht="20.25" customHeight="1"/>
    <row r="436" ht="20.25" customHeight="1">
      <c r="A436" s="38" t="s">
        <v>125</v>
      </c>
    </row>
    <row r="437" spans="1:12" ht="36" customHeight="1" thickBot="1">
      <c r="A437" s="949" t="s">
        <v>15</v>
      </c>
      <c r="B437" s="950"/>
      <c r="C437" s="950"/>
      <c r="D437" s="950"/>
      <c r="E437" s="950"/>
      <c r="F437" s="950"/>
      <c r="G437" s="950"/>
      <c r="H437" s="950"/>
      <c r="I437" s="950"/>
      <c r="J437" s="950"/>
      <c r="K437" s="950"/>
      <c r="L437" s="57" t="s">
        <v>138</v>
      </c>
    </row>
    <row r="438" spans="1:12" ht="13.5" customHeight="1" thickBot="1">
      <c r="A438" s="927" t="s">
        <v>5</v>
      </c>
      <c r="B438" s="964" t="s">
        <v>119</v>
      </c>
      <c r="C438" s="965"/>
      <c r="D438" s="965"/>
      <c r="E438" s="965"/>
      <c r="F438" s="939" t="s">
        <v>120</v>
      </c>
      <c r="G438" s="939" t="s">
        <v>121</v>
      </c>
      <c r="H438" s="942" t="s">
        <v>122</v>
      </c>
      <c r="I438" s="943"/>
      <c r="J438" s="943"/>
      <c r="K438" s="943"/>
      <c r="L438" s="945" t="s">
        <v>124</v>
      </c>
    </row>
    <row r="439" spans="1:12" ht="13.5" customHeight="1" thickBot="1">
      <c r="A439" s="928"/>
      <c r="B439" s="48"/>
      <c r="C439" s="947" t="s">
        <v>117</v>
      </c>
      <c r="D439" s="948"/>
      <c r="E439" s="930" t="s">
        <v>123</v>
      </c>
      <c r="F439" s="940"/>
      <c r="G439" s="940"/>
      <c r="H439" s="930" t="s">
        <v>112</v>
      </c>
      <c r="I439" s="947" t="s">
        <v>117</v>
      </c>
      <c r="J439" s="948"/>
      <c r="K439" s="930" t="s">
        <v>123</v>
      </c>
      <c r="L439" s="946"/>
    </row>
    <row r="440" spans="1:12" ht="43.5" customHeight="1" thickBot="1">
      <c r="A440" s="929"/>
      <c r="B440" s="49" t="s">
        <v>112</v>
      </c>
      <c r="C440" s="50" t="s">
        <v>116</v>
      </c>
      <c r="D440" s="51" t="s">
        <v>118</v>
      </c>
      <c r="E440" s="936"/>
      <c r="F440" s="941"/>
      <c r="G440" s="941"/>
      <c r="H440" s="941"/>
      <c r="I440" s="50" t="s">
        <v>116</v>
      </c>
      <c r="J440" s="51" t="s">
        <v>118</v>
      </c>
      <c r="K440" s="936"/>
      <c r="L440" s="946"/>
    </row>
    <row r="441" spans="1:12" ht="20.25" customHeight="1" thickBot="1">
      <c r="A441" s="39">
        <v>2017</v>
      </c>
      <c r="B441" s="52"/>
      <c r="C441" s="52"/>
      <c r="D441" s="52"/>
      <c r="E441" s="52"/>
      <c r="F441" s="52"/>
      <c r="G441" s="52"/>
      <c r="H441" s="52">
        <v>200609</v>
      </c>
      <c r="I441" s="52">
        <v>129871.4</v>
      </c>
      <c r="J441" s="52">
        <v>22402.9</v>
      </c>
      <c r="K441" s="52">
        <v>20795</v>
      </c>
      <c r="L441" s="59">
        <f>K441+H441</f>
        <v>221404</v>
      </c>
    </row>
    <row r="442" spans="1:12" ht="21.75" customHeight="1" thickBot="1">
      <c r="A442" s="39">
        <v>2018</v>
      </c>
      <c r="B442" s="52"/>
      <c r="C442" s="52"/>
      <c r="D442" s="52"/>
      <c r="E442" s="52"/>
      <c r="F442" s="52"/>
      <c r="G442" s="52"/>
      <c r="H442" s="52">
        <f aca="true" t="shared" si="11" ref="H442:K443">H441*1%+H441</f>
        <v>202615.09</v>
      </c>
      <c r="I442" s="52">
        <f t="shared" si="11"/>
        <v>131170.114</v>
      </c>
      <c r="J442" s="52">
        <f t="shared" si="11"/>
        <v>22626.929</v>
      </c>
      <c r="K442" s="52">
        <f t="shared" si="11"/>
        <v>21002.95</v>
      </c>
      <c r="L442" s="59">
        <f>K442+H442</f>
        <v>223618.04</v>
      </c>
    </row>
    <row r="443" spans="1:12" ht="23.25" customHeight="1" thickBot="1">
      <c r="A443" s="40">
        <v>2019</v>
      </c>
      <c r="B443" s="52"/>
      <c r="C443" s="52"/>
      <c r="D443" s="52"/>
      <c r="E443" s="52"/>
      <c r="F443" s="52"/>
      <c r="G443" s="52"/>
      <c r="H443" s="52">
        <f t="shared" si="11"/>
        <v>204641.2409</v>
      </c>
      <c r="I443" s="52">
        <f t="shared" si="11"/>
        <v>132481.81514</v>
      </c>
      <c r="J443" s="52">
        <f t="shared" si="11"/>
        <v>22853.19829</v>
      </c>
      <c r="K443" s="52">
        <f t="shared" si="11"/>
        <v>21212.9795</v>
      </c>
      <c r="L443" s="59">
        <f>K443+H443</f>
        <v>225854.2204</v>
      </c>
    </row>
    <row r="444" spans="1:12" ht="23.25" customHeight="1">
      <c r="A444" s="582"/>
      <c r="B444" s="583"/>
      <c r="C444" s="583"/>
      <c r="D444" s="583"/>
      <c r="E444" s="583"/>
      <c r="F444" s="583"/>
      <c r="G444" s="583"/>
      <c r="H444" s="583"/>
      <c r="I444" s="583"/>
      <c r="J444" s="583"/>
      <c r="K444" s="583"/>
      <c r="L444" s="584"/>
    </row>
    <row r="445" spans="1:12" ht="12">
      <c r="A445" s="309"/>
      <c r="B445" s="585"/>
      <c r="C445" s="585"/>
      <c r="D445" s="585"/>
      <c r="E445" s="585"/>
      <c r="F445" s="585"/>
      <c r="G445" s="585"/>
      <c r="H445" s="585"/>
      <c r="I445" s="585"/>
      <c r="J445" s="585"/>
      <c r="K445" s="585"/>
      <c r="L445" s="585"/>
    </row>
    <row r="446" spans="1:12" ht="12">
      <c r="A446" s="586" t="s">
        <v>135</v>
      </c>
      <c r="B446" s="585"/>
      <c r="C446" s="585"/>
      <c r="D446" s="585"/>
      <c r="E446" s="585"/>
      <c r="F446" s="585"/>
      <c r="G446" s="585"/>
      <c r="H446" s="585"/>
      <c r="I446" s="585"/>
      <c r="J446" s="585"/>
      <c r="K446" s="585"/>
      <c r="L446" s="585"/>
    </row>
    <row r="447" spans="1:12" ht="27.75" customHeight="1" thickBot="1">
      <c r="A447" s="999" t="s">
        <v>14</v>
      </c>
      <c r="B447" s="1000"/>
      <c r="C447" s="1000"/>
      <c r="D447" s="1000"/>
      <c r="E447" s="1000"/>
      <c r="F447" s="1000"/>
      <c r="G447" s="1000"/>
      <c r="H447" s="1000"/>
      <c r="I447" s="1000"/>
      <c r="J447" s="1000"/>
      <c r="K447" s="1000"/>
      <c r="L447" s="585"/>
    </row>
    <row r="448" spans="1:12" ht="36.75" customHeight="1" thickBot="1">
      <c r="A448" s="986" t="s">
        <v>103</v>
      </c>
      <c r="B448" s="989" t="s">
        <v>110</v>
      </c>
      <c r="C448" s="990"/>
      <c r="D448" s="991"/>
      <c r="E448" s="978" t="s">
        <v>106</v>
      </c>
      <c r="F448" s="978" t="s">
        <v>108</v>
      </c>
      <c r="G448" s="983" t="s">
        <v>107</v>
      </c>
      <c r="H448" s="984"/>
      <c r="I448" s="984"/>
      <c r="J448" s="985"/>
      <c r="K448" s="585"/>
      <c r="L448" s="585"/>
    </row>
    <row r="449" spans="1:12" ht="13.5" customHeight="1" thickBot="1">
      <c r="A449" s="987"/>
      <c r="B449" s="992"/>
      <c r="C449" s="993"/>
      <c r="D449" s="994"/>
      <c r="E449" s="998"/>
      <c r="F449" s="979"/>
      <c r="G449" s="588"/>
      <c r="H449" s="983" t="s">
        <v>109</v>
      </c>
      <c r="I449" s="984"/>
      <c r="J449" s="985"/>
      <c r="K449" s="585"/>
      <c r="L449" s="585"/>
    </row>
    <row r="450" spans="1:12" ht="12.75" thickBot="1">
      <c r="A450" s="988"/>
      <c r="B450" s="995"/>
      <c r="C450" s="996"/>
      <c r="D450" s="997"/>
      <c r="E450" s="979"/>
      <c r="F450" s="587">
        <v>2016</v>
      </c>
      <c r="G450" s="587">
        <v>2017</v>
      </c>
      <c r="H450" s="587">
        <v>2018</v>
      </c>
      <c r="I450" s="587">
        <v>2019</v>
      </c>
      <c r="J450" s="587">
        <v>2020</v>
      </c>
      <c r="K450" s="585"/>
      <c r="L450" s="585"/>
    </row>
    <row r="451" spans="1:12" ht="87" customHeight="1" thickBot="1">
      <c r="A451" s="589" t="s">
        <v>214</v>
      </c>
      <c r="B451" s="975" t="s">
        <v>262</v>
      </c>
      <c r="C451" s="976"/>
      <c r="D451" s="977"/>
      <c r="E451" s="590" t="s">
        <v>149</v>
      </c>
      <c r="F451" s="66">
        <v>16</v>
      </c>
      <c r="G451" s="66">
        <v>16</v>
      </c>
      <c r="H451" s="66">
        <v>16</v>
      </c>
      <c r="I451" s="70">
        <v>16</v>
      </c>
      <c r="J451" s="70">
        <v>16</v>
      </c>
      <c r="K451" s="585"/>
      <c r="L451" s="585"/>
    </row>
    <row r="452" spans="1:12" ht="116.25" customHeight="1" thickBot="1">
      <c r="A452" s="589" t="s">
        <v>421</v>
      </c>
      <c r="B452" s="975" t="s">
        <v>262</v>
      </c>
      <c r="C452" s="976"/>
      <c r="D452" s="977"/>
      <c r="E452" s="590" t="s">
        <v>149</v>
      </c>
      <c r="F452" s="66">
        <v>30</v>
      </c>
      <c r="G452" s="66">
        <v>30</v>
      </c>
      <c r="H452" s="66">
        <v>30</v>
      </c>
      <c r="I452" s="70">
        <v>40</v>
      </c>
      <c r="J452" s="70">
        <v>50</v>
      </c>
      <c r="K452" s="585"/>
      <c r="L452" s="585"/>
    </row>
    <row r="453" spans="1:12" ht="90" customHeight="1" thickBot="1">
      <c r="A453" s="589" t="s">
        <v>415</v>
      </c>
      <c r="B453" s="975" t="s">
        <v>262</v>
      </c>
      <c r="C453" s="976"/>
      <c r="D453" s="977"/>
      <c r="E453" s="590" t="s">
        <v>149</v>
      </c>
      <c r="F453" s="74">
        <v>40</v>
      </c>
      <c r="G453" s="74">
        <v>40</v>
      </c>
      <c r="H453" s="74">
        <v>40</v>
      </c>
      <c r="I453" s="74">
        <v>50</v>
      </c>
      <c r="J453" s="74">
        <v>60</v>
      </c>
      <c r="K453" s="585"/>
      <c r="L453" s="585"/>
    </row>
    <row r="454" spans="1:12" ht="24.75" thickBot="1">
      <c r="A454" s="589" t="s">
        <v>416</v>
      </c>
      <c r="B454" s="975" t="s">
        <v>262</v>
      </c>
      <c r="C454" s="976"/>
      <c r="D454" s="977"/>
      <c r="E454" s="590" t="s">
        <v>149</v>
      </c>
      <c r="F454" s="74">
        <v>3</v>
      </c>
      <c r="G454" s="74">
        <v>3</v>
      </c>
      <c r="H454" s="74">
        <v>3</v>
      </c>
      <c r="I454" s="74">
        <v>3</v>
      </c>
      <c r="J454" s="74">
        <v>3</v>
      </c>
      <c r="K454" s="585"/>
      <c r="L454" s="585"/>
    </row>
    <row r="455" spans="1:12" ht="12">
      <c r="A455" s="309"/>
      <c r="B455" s="585"/>
      <c r="C455" s="585"/>
      <c r="D455" s="585"/>
      <c r="E455" s="585"/>
      <c r="F455" s="585"/>
      <c r="G455" s="585"/>
      <c r="H455" s="585"/>
      <c r="I455" s="585"/>
      <c r="J455" s="585"/>
      <c r="K455" s="585"/>
      <c r="L455" s="585"/>
    </row>
    <row r="456" spans="1:12" ht="23.25" customHeight="1">
      <c r="A456" s="591"/>
      <c r="B456" s="592"/>
      <c r="C456" s="592"/>
      <c r="D456" s="592"/>
      <c r="E456" s="592"/>
      <c r="F456" s="592"/>
      <c r="G456" s="592"/>
      <c r="H456" s="592"/>
      <c r="I456" s="592"/>
      <c r="J456" s="592"/>
      <c r="K456" s="592"/>
      <c r="L456" s="593"/>
    </row>
    <row r="457" ht="12"/>
    <row r="458" ht="12"/>
    <row r="459" ht="24" customHeight="1" thickBot="1">
      <c r="A459" s="32">
        <v>15</v>
      </c>
    </row>
    <row r="460" spans="1:12" ht="24" customHeight="1" thickBot="1">
      <c r="A460" s="33" t="s">
        <v>126</v>
      </c>
      <c r="B460" s="959" t="s">
        <v>242</v>
      </c>
      <c r="C460" s="950"/>
      <c r="D460" s="950"/>
      <c r="E460" s="950"/>
      <c r="F460" s="950"/>
      <c r="G460" s="950"/>
      <c r="H460" s="950"/>
      <c r="I460" s="950"/>
      <c r="J460" s="950"/>
      <c r="K460" s="950"/>
      <c r="L460" s="950"/>
    </row>
    <row r="461" spans="1:12" ht="20.25" customHeight="1" thickBot="1">
      <c r="A461" s="34" t="s">
        <v>127</v>
      </c>
      <c r="B461" s="949" t="s">
        <v>16</v>
      </c>
      <c r="C461" s="950"/>
      <c r="D461" s="950"/>
      <c r="E461" s="950"/>
      <c r="F461" s="950"/>
      <c r="G461" s="950"/>
      <c r="H461" s="950"/>
      <c r="I461" s="950"/>
      <c r="J461" s="950"/>
      <c r="K461" s="950"/>
      <c r="L461" s="950"/>
    </row>
    <row r="462" spans="1:12" ht="28.5" customHeight="1" thickBot="1">
      <c r="A462" s="35" t="s">
        <v>128</v>
      </c>
      <c r="B462" s="949" t="s">
        <v>18</v>
      </c>
      <c r="C462" s="950"/>
      <c r="D462" s="950"/>
      <c r="E462" s="950"/>
      <c r="F462" s="950"/>
      <c r="G462" s="950"/>
      <c r="H462" s="950"/>
      <c r="I462" s="950"/>
      <c r="J462" s="950"/>
      <c r="K462" s="950"/>
      <c r="L462" s="950"/>
    </row>
    <row r="463" spans="1:12" ht="29.25" customHeight="1" thickBot="1">
      <c r="A463" s="36" t="s">
        <v>104</v>
      </c>
      <c r="B463" s="958" t="s">
        <v>85</v>
      </c>
      <c r="C463" s="958"/>
      <c r="D463" s="958"/>
      <c r="E463" s="958"/>
      <c r="F463" s="958"/>
      <c r="G463" s="958"/>
      <c r="H463" s="958"/>
      <c r="I463" s="958"/>
      <c r="J463" s="958"/>
      <c r="K463" s="958"/>
      <c r="L463" s="959"/>
    </row>
    <row r="464" spans="1:12" s="37" customFormat="1" ht="49.5" customHeight="1" thickBot="1">
      <c r="A464" s="34" t="s">
        <v>130</v>
      </c>
      <c r="B464" s="47" t="s">
        <v>243</v>
      </c>
      <c r="C464" s="960" t="s">
        <v>131</v>
      </c>
      <c r="D464" s="961"/>
      <c r="E464" s="47"/>
      <c r="F464" s="962" t="s">
        <v>132</v>
      </c>
      <c r="G464" s="952"/>
      <c r="H464" s="952"/>
      <c r="I464" s="963"/>
      <c r="J464" s="967" t="s">
        <v>133</v>
      </c>
      <c r="K464" s="967"/>
      <c r="L464" s="967"/>
    </row>
    <row r="465" spans="1:12" ht="65.25" customHeight="1" thickBot="1">
      <c r="A465" s="34" t="s">
        <v>134</v>
      </c>
      <c r="B465" s="968" t="s">
        <v>83</v>
      </c>
      <c r="C465" s="969"/>
      <c r="D465" s="969"/>
      <c r="E465" s="969"/>
      <c r="F465" s="969"/>
      <c r="G465" s="969"/>
      <c r="H465" s="969"/>
      <c r="I465" s="969"/>
      <c r="J465" s="969"/>
      <c r="K465" s="969"/>
      <c r="L465" s="969"/>
    </row>
    <row r="466" spans="1:12" ht="51" customHeight="1" thickBot="1">
      <c r="A466" s="34" t="s">
        <v>129</v>
      </c>
      <c r="B466" s="970" t="s">
        <v>426</v>
      </c>
      <c r="C466" s="971"/>
      <c r="D466" s="971"/>
      <c r="E466" s="971"/>
      <c r="F466" s="971"/>
      <c r="G466" s="971"/>
      <c r="H466" s="971"/>
      <c r="I466" s="971"/>
      <c r="J466" s="971"/>
      <c r="K466" s="971"/>
      <c r="L466" s="971"/>
    </row>
    <row r="467" ht="20.25" customHeight="1"/>
    <row r="468" ht="20.25" customHeight="1">
      <c r="A468" s="38" t="s">
        <v>125</v>
      </c>
    </row>
    <row r="469" spans="1:12" ht="36" customHeight="1" thickBot="1">
      <c r="A469" s="949" t="s">
        <v>18</v>
      </c>
      <c r="B469" s="950"/>
      <c r="C469" s="950"/>
      <c r="D469" s="950"/>
      <c r="E469" s="950"/>
      <c r="F469" s="950"/>
      <c r="G469" s="950"/>
      <c r="H469" s="950"/>
      <c r="I469" s="950"/>
      <c r="J469" s="950"/>
      <c r="K469" s="950"/>
      <c r="L469" s="57" t="s">
        <v>138</v>
      </c>
    </row>
    <row r="470" spans="1:12" ht="13.5" customHeight="1" thickBot="1">
      <c r="A470" s="927" t="s">
        <v>82</v>
      </c>
      <c r="B470" s="964" t="s">
        <v>119</v>
      </c>
      <c r="C470" s="965"/>
      <c r="D470" s="965"/>
      <c r="E470" s="965"/>
      <c r="F470" s="939" t="s">
        <v>120</v>
      </c>
      <c r="G470" s="939" t="s">
        <v>121</v>
      </c>
      <c r="H470" s="942" t="s">
        <v>122</v>
      </c>
      <c r="I470" s="943"/>
      <c r="J470" s="943"/>
      <c r="K470" s="943"/>
      <c r="L470" s="945" t="s">
        <v>124</v>
      </c>
    </row>
    <row r="471" spans="1:12" ht="13.5" customHeight="1" thickBot="1">
      <c r="A471" s="928"/>
      <c r="B471" s="48"/>
      <c r="C471" s="947" t="s">
        <v>117</v>
      </c>
      <c r="D471" s="948"/>
      <c r="E471" s="930" t="s">
        <v>123</v>
      </c>
      <c r="F471" s="940"/>
      <c r="G471" s="940"/>
      <c r="H471" s="930" t="s">
        <v>112</v>
      </c>
      <c r="I471" s="947" t="s">
        <v>117</v>
      </c>
      <c r="J471" s="948"/>
      <c r="K471" s="930" t="s">
        <v>123</v>
      </c>
      <c r="L471" s="946"/>
    </row>
    <row r="472" spans="1:12" ht="43.5" customHeight="1" thickBot="1">
      <c r="A472" s="929"/>
      <c r="B472" s="49" t="s">
        <v>112</v>
      </c>
      <c r="C472" s="50" t="s">
        <v>116</v>
      </c>
      <c r="D472" s="51" t="s">
        <v>118</v>
      </c>
      <c r="E472" s="936"/>
      <c r="F472" s="941"/>
      <c r="G472" s="941"/>
      <c r="H472" s="941"/>
      <c r="I472" s="50" t="s">
        <v>116</v>
      </c>
      <c r="J472" s="51" t="s">
        <v>118</v>
      </c>
      <c r="K472" s="936"/>
      <c r="L472" s="946"/>
    </row>
    <row r="473" spans="1:12" ht="20.25" customHeight="1" thickBot="1">
      <c r="A473" s="39">
        <v>2017</v>
      </c>
      <c r="B473" s="52"/>
      <c r="C473" s="52"/>
      <c r="D473" s="52"/>
      <c r="E473" s="52"/>
      <c r="F473" s="52"/>
      <c r="G473" s="52"/>
      <c r="H473" s="52">
        <v>3859100</v>
      </c>
      <c r="I473" s="52"/>
      <c r="J473" s="52"/>
      <c r="K473" s="58"/>
      <c r="L473" s="59">
        <f>B473+E473+F473+G473+H473+K473</f>
        <v>3859100</v>
      </c>
    </row>
    <row r="474" spans="1:12" ht="21.75" customHeight="1" thickBot="1">
      <c r="A474" s="39">
        <v>2018</v>
      </c>
      <c r="B474" s="52"/>
      <c r="C474" s="52"/>
      <c r="D474" s="52"/>
      <c r="E474" s="52"/>
      <c r="F474" s="52"/>
      <c r="G474" s="52"/>
      <c r="H474" s="52">
        <f aca="true" t="shared" si="12" ref="H474:K475">H473*1%+H473</f>
        <v>3897691</v>
      </c>
      <c r="I474" s="52">
        <f t="shared" si="12"/>
        <v>0</v>
      </c>
      <c r="J474" s="52">
        <f t="shared" si="12"/>
        <v>0</v>
      </c>
      <c r="K474" s="52">
        <f t="shared" si="12"/>
        <v>0</v>
      </c>
      <c r="L474" s="59">
        <f>B474+E474+F474+G474+H474+K474</f>
        <v>3897691</v>
      </c>
    </row>
    <row r="475" spans="1:12" ht="23.25" customHeight="1" thickBot="1">
      <c r="A475" s="40">
        <v>2019</v>
      </c>
      <c r="B475" s="52"/>
      <c r="C475" s="52"/>
      <c r="D475" s="52"/>
      <c r="E475" s="52"/>
      <c r="F475" s="52"/>
      <c r="G475" s="52"/>
      <c r="H475" s="52">
        <f t="shared" si="12"/>
        <v>3936667.91</v>
      </c>
      <c r="I475" s="52">
        <f t="shared" si="12"/>
        <v>0</v>
      </c>
      <c r="J475" s="52">
        <f t="shared" si="12"/>
        <v>0</v>
      </c>
      <c r="K475" s="52">
        <f t="shared" si="12"/>
        <v>0</v>
      </c>
      <c r="L475" s="59">
        <f>B475+E475+F475+G475+H475+K475</f>
        <v>3936667.91</v>
      </c>
    </row>
    <row r="477" ht="12">
      <c r="A477" s="41" t="s">
        <v>135</v>
      </c>
    </row>
    <row r="478" spans="1:11" ht="27.75" customHeight="1" thickBot="1">
      <c r="A478" s="949" t="s">
        <v>18</v>
      </c>
      <c r="B478" s="950"/>
      <c r="C478" s="950"/>
      <c r="D478" s="950"/>
      <c r="E478" s="950"/>
      <c r="F478" s="950"/>
      <c r="G478" s="950"/>
      <c r="H478" s="950"/>
      <c r="I478" s="950"/>
      <c r="J478" s="950"/>
      <c r="K478" s="950"/>
    </row>
    <row r="479" spans="1:10" ht="36.75" customHeight="1" thickBot="1">
      <c r="A479" s="927" t="s">
        <v>103</v>
      </c>
      <c r="B479" s="930" t="s">
        <v>110</v>
      </c>
      <c r="C479" s="931"/>
      <c r="D479" s="932"/>
      <c r="E479" s="939" t="s">
        <v>106</v>
      </c>
      <c r="F479" s="939" t="s">
        <v>108</v>
      </c>
      <c r="G479" s="942" t="s">
        <v>107</v>
      </c>
      <c r="H479" s="943"/>
      <c r="I479" s="943"/>
      <c r="J479" s="944"/>
    </row>
    <row r="480" spans="1:10" ht="13.5" customHeight="1" thickBot="1">
      <c r="A480" s="928"/>
      <c r="B480" s="933"/>
      <c r="C480" s="934"/>
      <c r="D480" s="935"/>
      <c r="E480" s="940"/>
      <c r="F480" s="941"/>
      <c r="G480" s="54"/>
      <c r="H480" s="942" t="s">
        <v>109</v>
      </c>
      <c r="I480" s="943"/>
      <c r="J480" s="944"/>
    </row>
    <row r="481" spans="1:10" ht="12.75" thickBot="1">
      <c r="A481" s="929"/>
      <c r="B481" s="936"/>
      <c r="C481" s="937"/>
      <c r="D481" s="938"/>
      <c r="E481" s="941"/>
      <c r="F481" s="53">
        <v>2016</v>
      </c>
      <c r="G481" s="53">
        <v>2017</v>
      </c>
      <c r="H481" s="53">
        <v>2018</v>
      </c>
      <c r="I481" s="53">
        <v>2019</v>
      </c>
      <c r="J481" s="53">
        <v>2020</v>
      </c>
    </row>
    <row r="482" spans="1:10" ht="192" customHeight="1" thickBot="1">
      <c r="A482" s="15" t="s">
        <v>84</v>
      </c>
      <c r="B482" s="954" t="s">
        <v>262</v>
      </c>
      <c r="C482" s="955"/>
      <c r="D482" s="956"/>
      <c r="E482" s="71" t="s">
        <v>149</v>
      </c>
      <c r="F482" s="64">
        <v>80</v>
      </c>
      <c r="G482" s="64">
        <v>85</v>
      </c>
      <c r="H482" s="65">
        <v>85</v>
      </c>
      <c r="I482" s="70">
        <v>85</v>
      </c>
      <c r="J482" s="70">
        <v>85</v>
      </c>
    </row>
    <row r="483" spans="1:10" ht="114" customHeight="1" thickBot="1">
      <c r="A483" s="45" t="s">
        <v>224</v>
      </c>
      <c r="B483" s="954" t="s">
        <v>262</v>
      </c>
      <c r="C483" s="955"/>
      <c r="D483" s="956"/>
      <c r="E483" s="71" t="s">
        <v>149</v>
      </c>
      <c r="F483" s="64">
        <v>50</v>
      </c>
      <c r="G483" s="64">
        <v>55</v>
      </c>
      <c r="H483" s="65">
        <v>55</v>
      </c>
      <c r="I483" s="70">
        <v>55</v>
      </c>
      <c r="J483" s="70">
        <v>55</v>
      </c>
    </row>
    <row r="484" spans="1:10" ht="18" customHeight="1" thickBot="1">
      <c r="A484" s="45"/>
      <c r="B484" s="954"/>
      <c r="C484" s="955"/>
      <c r="D484" s="956"/>
      <c r="E484" s="71"/>
      <c r="F484" s="72"/>
      <c r="G484" s="72"/>
      <c r="H484" s="73"/>
      <c r="I484" s="74"/>
      <c r="J484" s="74"/>
    </row>
    <row r="487" ht="24" customHeight="1" thickBot="1">
      <c r="A487" s="32">
        <v>16</v>
      </c>
    </row>
    <row r="488" spans="1:12" ht="24" customHeight="1" thickBot="1">
      <c r="A488" s="33" t="s">
        <v>126</v>
      </c>
      <c r="B488" s="959" t="s">
        <v>242</v>
      </c>
      <c r="C488" s="950"/>
      <c r="D488" s="950"/>
      <c r="E488" s="950"/>
      <c r="F488" s="950"/>
      <c r="G488" s="950"/>
      <c r="H488" s="950"/>
      <c r="I488" s="950"/>
      <c r="J488" s="950"/>
      <c r="K488" s="950"/>
      <c r="L488" s="950"/>
    </row>
    <row r="489" spans="1:12" ht="20.25" customHeight="1" thickBot="1">
      <c r="A489" s="34" t="s">
        <v>127</v>
      </c>
      <c r="B489" s="949" t="s">
        <v>16</v>
      </c>
      <c r="C489" s="950"/>
      <c r="D489" s="950"/>
      <c r="E489" s="950"/>
      <c r="F489" s="950"/>
      <c r="G489" s="950"/>
      <c r="H489" s="950"/>
      <c r="I489" s="950"/>
      <c r="J489" s="950"/>
      <c r="K489" s="950"/>
      <c r="L489" s="950"/>
    </row>
    <row r="490" spans="1:12" ht="28.5" customHeight="1" thickBot="1">
      <c r="A490" s="35" t="s">
        <v>128</v>
      </c>
      <c r="B490" s="949" t="s">
        <v>19</v>
      </c>
      <c r="C490" s="950"/>
      <c r="D490" s="950"/>
      <c r="E490" s="950"/>
      <c r="F490" s="950"/>
      <c r="G490" s="950"/>
      <c r="H490" s="950"/>
      <c r="I490" s="950"/>
      <c r="J490" s="950"/>
      <c r="K490" s="950"/>
      <c r="L490" s="950"/>
    </row>
    <row r="491" spans="1:12" ht="29.25" customHeight="1" thickBot="1">
      <c r="A491" s="36" t="s">
        <v>104</v>
      </c>
      <c r="B491" s="958" t="s">
        <v>85</v>
      </c>
      <c r="C491" s="958"/>
      <c r="D491" s="958"/>
      <c r="E491" s="958"/>
      <c r="F491" s="958"/>
      <c r="G491" s="958"/>
      <c r="H491" s="958"/>
      <c r="I491" s="958"/>
      <c r="J491" s="958"/>
      <c r="K491" s="958"/>
      <c r="L491" s="959"/>
    </row>
    <row r="492" spans="1:12" s="37" customFormat="1" ht="51" customHeight="1" thickBot="1">
      <c r="A492" s="34" t="s">
        <v>130</v>
      </c>
      <c r="B492" s="47" t="s">
        <v>243</v>
      </c>
      <c r="C492" s="960" t="s">
        <v>131</v>
      </c>
      <c r="D492" s="961"/>
      <c r="E492" s="47"/>
      <c r="F492" s="962" t="s">
        <v>132</v>
      </c>
      <c r="G492" s="952"/>
      <c r="H492" s="952"/>
      <c r="I492" s="963"/>
      <c r="J492" s="967" t="s">
        <v>133</v>
      </c>
      <c r="K492" s="967"/>
      <c r="L492" s="967"/>
    </row>
    <row r="493" spans="1:12" ht="65.25" customHeight="1" thickBot="1">
      <c r="A493" s="34" t="s">
        <v>134</v>
      </c>
      <c r="B493" s="968" t="s">
        <v>86</v>
      </c>
      <c r="C493" s="969"/>
      <c r="D493" s="969"/>
      <c r="E493" s="969"/>
      <c r="F493" s="969"/>
      <c r="G493" s="969"/>
      <c r="H493" s="969"/>
      <c r="I493" s="969"/>
      <c r="J493" s="969"/>
      <c r="K493" s="969"/>
      <c r="L493" s="969"/>
    </row>
    <row r="494" spans="1:12" ht="51" customHeight="1" thickBot="1">
      <c r="A494" s="34" t="s">
        <v>129</v>
      </c>
      <c r="B494" s="970" t="s">
        <v>426</v>
      </c>
      <c r="C494" s="971"/>
      <c r="D494" s="971"/>
      <c r="E494" s="971"/>
      <c r="F494" s="971"/>
      <c r="G494" s="971"/>
      <c r="H494" s="971"/>
      <c r="I494" s="971"/>
      <c r="J494" s="971"/>
      <c r="K494" s="971"/>
      <c r="L494" s="971"/>
    </row>
    <row r="495" ht="20.25" customHeight="1"/>
    <row r="496" ht="20.25" customHeight="1">
      <c r="A496" s="38" t="s">
        <v>125</v>
      </c>
    </row>
    <row r="497" spans="1:12" ht="36" customHeight="1" thickBot="1">
      <c r="A497" s="949" t="s">
        <v>19</v>
      </c>
      <c r="B497" s="950"/>
      <c r="C497" s="950"/>
      <c r="D497" s="950"/>
      <c r="E497" s="950"/>
      <c r="F497" s="950"/>
      <c r="G497" s="950"/>
      <c r="H497" s="950"/>
      <c r="I497" s="950"/>
      <c r="J497" s="950"/>
      <c r="K497" s="950"/>
      <c r="L497" s="57" t="s">
        <v>138</v>
      </c>
    </row>
    <row r="498" spans="1:12" ht="13.5" customHeight="1" thickBot="1">
      <c r="A498" s="927" t="s">
        <v>82</v>
      </c>
      <c r="B498" s="964" t="s">
        <v>119</v>
      </c>
      <c r="C498" s="965"/>
      <c r="D498" s="965"/>
      <c r="E498" s="965"/>
      <c r="F498" s="939" t="s">
        <v>120</v>
      </c>
      <c r="G498" s="939" t="s">
        <v>121</v>
      </c>
      <c r="H498" s="942" t="s">
        <v>122</v>
      </c>
      <c r="I498" s="943"/>
      <c r="J498" s="943"/>
      <c r="K498" s="943"/>
      <c r="L498" s="945" t="s">
        <v>124</v>
      </c>
    </row>
    <row r="499" spans="1:12" ht="13.5" customHeight="1" thickBot="1">
      <c r="A499" s="928"/>
      <c r="B499" s="48"/>
      <c r="C499" s="947" t="s">
        <v>117</v>
      </c>
      <c r="D499" s="948"/>
      <c r="E499" s="930" t="s">
        <v>123</v>
      </c>
      <c r="F499" s="940"/>
      <c r="G499" s="940"/>
      <c r="H499" s="930" t="s">
        <v>112</v>
      </c>
      <c r="I499" s="947" t="s">
        <v>117</v>
      </c>
      <c r="J499" s="948"/>
      <c r="K499" s="930" t="s">
        <v>123</v>
      </c>
      <c r="L499" s="946"/>
    </row>
    <row r="500" spans="1:12" ht="43.5" customHeight="1" thickBot="1">
      <c r="A500" s="929"/>
      <c r="B500" s="49" t="s">
        <v>112</v>
      </c>
      <c r="C500" s="50" t="s">
        <v>116</v>
      </c>
      <c r="D500" s="51" t="s">
        <v>118</v>
      </c>
      <c r="E500" s="936"/>
      <c r="F500" s="941"/>
      <c r="G500" s="941"/>
      <c r="H500" s="941"/>
      <c r="I500" s="50" t="s">
        <v>116</v>
      </c>
      <c r="J500" s="51" t="s">
        <v>118</v>
      </c>
      <c r="K500" s="936"/>
      <c r="L500" s="946"/>
    </row>
    <row r="501" spans="1:12" ht="20.25" customHeight="1" thickBot="1">
      <c r="A501" s="39">
        <v>2016</v>
      </c>
      <c r="B501" s="52">
        <v>568371</v>
      </c>
      <c r="C501" s="52">
        <v>0</v>
      </c>
      <c r="D501" s="52">
        <v>0</v>
      </c>
      <c r="E501" s="52"/>
      <c r="F501" s="52"/>
      <c r="G501" s="52"/>
      <c r="H501" s="232"/>
      <c r="I501" s="52"/>
      <c r="J501" s="52"/>
      <c r="K501" s="58"/>
      <c r="L501" s="59">
        <f>B501+F501+G501+H501</f>
        <v>568371</v>
      </c>
    </row>
    <row r="502" spans="1:12" ht="21.75" customHeight="1" thickBot="1">
      <c r="A502" s="39">
        <v>2017</v>
      </c>
      <c r="B502" s="52">
        <f>B501*1%+B501</f>
        <v>574054.71</v>
      </c>
      <c r="C502" s="52">
        <f>C501*1%+C501</f>
        <v>0</v>
      </c>
      <c r="D502" s="52">
        <f>D501*1%+D501</f>
        <v>0</v>
      </c>
      <c r="E502" s="52"/>
      <c r="F502" s="52"/>
      <c r="G502" s="52"/>
      <c r="H502" s="52"/>
      <c r="I502" s="52"/>
      <c r="J502" s="52"/>
      <c r="K502" s="58"/>
      <c r="L502" s="59">
        <f>B502+F502+G502+H502</f>
        <v>574054.71</v>
      </c>
    </row>
    <row r="503" spans="1:12" ht="23.25" customHeight="1" thickBot="1">
      <c r="A503" s="40">
        <v>2018</v>
      </c>
      <c r="B503" s="52">
        <f>B502*1%+B502</f>
        <v>579795.2570999999</v>
      </c>
      <c r="C503" s="52">
        <f>C501*2%+C501</f>
        <v>0</v>
      </c>
      <c r="D503" s="52">
        <f>D501*2%+D501</f>
        <v>0</v>
      </c>
      <c r="E503" s="52"/>
      <c r="F503" s="52"/>
      <c r="G503" s="52"/>
      <c r="H503" s="52"/>
      <c r="I503" s="52"/>
      <c r="J503" s="52"/>
      <c r="K503" s="58"/>
      <c r="L503" s="59">
        <f>B503+F503+G503+H503</f>
        <v>579795.2570999999</v>
      </c>
    </row>
    <row r="505" ht="12">
      <c r="A505" s="41" t="s">
        <v>135</v>
      </c>
    </row>
    <row r="506" spans="1:11" ht="27.75" customHeight="1" thickBot="1">
      <c r="A506" s="949" t="s">
        <v>19</v>
      </c>
      <c r="B506" s="950"/>
      <c r="C506" s="950"/>
      <c r="D506" s="950"/>
      <c r="E506" s="950"/>
      <c r="F506" s="950"/>
      <c r="G506" s="950"/>
      <c r="H506" s="950"/>
      <c r="I506" s="950"/>
      <c r="J506" s="950"/>
      <c r="K506" s="950"/>
    </row>
    <row r="507" spans="1:10" ht="36.75" customHeight="1" thickBot="1">
      <c r="A507" s="927" t="s">
        <v>103</v>
      </c>
      <c r="B507" s="930" t="s">
        <v>110</v>
      </c>
      <c r="C507" s="931"/>
      <c r="D507" s="932"/>
      <c r="E507" s="939" t="s">
        <v>106</v>
      </c>
      <c r="F507" s="939" t="s">
        <v>108</v>
      </c>
      <c r="G507" s="942" t="s">
        <v>107</v>
      </c>
      <c r="H507" s="943"/>
      <c r="I507" s="943"/>
      <c r="J507" s="944"/>
    </row>
    <row r="508" spans="1:10" ht="13.5" customHeight="1" thickBot="1">
      <c r="A508" s="928"/>
      <c r="B508" s="933"/>
      <c r="C508" s="934"/>
      <c r="D508" s="935"/>
      <c r="E508" s="940"/>
      <c r="F508" s="941"/>
      <c r="G508" s="54"/>
      <c r="H508" s="942" t="s">
        <v>109</v>
      </c>
      <c r="I508" s="943"/>
      <c r="J508" s="944"/>
    </row>
    <row r="509" spans="1:10" ht="12.75" thickBot="1">
      <c r="A509" s="929"/>
      <c r="B509" s="936"/>
      <c r="C509" s="937"/>
      <c r="D509" s="938"/>
      <c r="E509" s="941"/>
      <c r="F509" s="53">
        <v>2016</v>
      </c>
      <c r="G509" s="53">
        <v>2017</v>
      </c>
      <c r="H509" s="53">
        <v>2018</v>
      </c>
      <c r="I509" s="53">
        <v>2019</v>
      </c>
      <c r="J509" s="53">
        <v>2020</v>
      </c>
    </row>
    <row r="510" spans="1:10" ht="90.75" customHeight="1" thickBot="1">
      <c r="A510" s="15" t="s">
        <v>87</v>
      </c>
      <c r="B510" s="954" t="s">
        <v>262</v>
      </c>
      <c r="C510" s="955"/>
      <c r="D510" s="956"/>
      <c r="E510" s="71" t="s">
        <v>149</v>
      </c>
      <c r="F510" s="64">
        <v>30</v>
      </c>
      <c r="G510" s="64">
        <v>30</v>
      </c>
      <c r="H510" s="65">
        <v>32</v>
      </c>
      <c r="I510" s="70">
        <v>32</v>
      </c>
      <c r="J510" s="70">
        <v>32</v>
      </c>
    </row>
    <row r="513" ht="24" customHeight="1" thickBot="1">
      <c r="A513" s="32">
        <v>17</v>
      </c>
    </row>
    <row r="514" spans="1:12" ht="24" customHeight="1" thickBot="1">
      <c r="A514" s="33" t="s">
        <v>126</v>
      </c>
      <c r="B514" s="959" t="s">
        <v>242</v>
      </c>
      <c r="C514" s="950"/>
      <c r="D514" s="950"/>
      <c r="E514" s="950"/>
      <c r="F514" s="950"/>
      <c r="G514" s="950"/>
      <c r="H514" s="950"/>
      <c r="I514" s="950"/>
      <c r="J514" s="950"/>
      <c r="K514" s="950"/>
      <c r="L514" s="950"/>
    </row>
    <row r="515" spans="1:12" ht="20.25" customHeight="1" thickBot="1">
      <c r="A515" s="34" t="s">
        <v>127</v>
      </c>
      <c r="B515" s="949" t="s">
        <v>20</v>
      </c>
      <c r="C515" s="950"/>
      <c r="D515" s="950"/>
      <c r="E515" s="950"/>
      <c r="F515" s="950"/>
      <c r="G515" s="950"/>
      <c r="H515" s="950"/>
      <c r="I515" s="950"/>
      <c r="J515" s="950"/>
      <c r="K515" s="950"/>
      <c r="L515" s="950"/>
    </row>
    <row r="516" spans="1:12" ht="28.5" customHeight="1" thickBot="1">
      <c r="A516" s="35" t="s">
        <v>128</v>
      </c>
      <c r="B516" s="949" t="s">
        <v>21</v>
      </c>
      <c r="C516" s="950"/>
      <c r="D516" s="950"/>
      <c r="E516" s="950"/>
      <c r="F516" s="950"/>
      <c r="G516" s="950"/>
      <c r="H516" s="950"/>
      <c r="I516" s="950"/>
      <c r="J516" s="950"/>
      <c r="K516" s="950"/>
      <c r="L516" s="950"/>
    </row>
    <row r="517" spans="1:12" ht="29.25" customHeight="1" thickBot="1">
      <c r="A517" s="36" t="s">
        <v>104</v>
      </c>
      <c r="B517" s="958" t="s">
        <v>90</v>
      </c>
      <c r="C517" s="958"/>
      <c r="D517" s="958"/>
      <c r="E517" s="958"/>
      <c r="F517" s="958"/>
      <c r="G517" s="958"/>
      <c r="H517" s="958"/>
      <c r="I517" s="958"/>
      <c r="J517" s="958"/>
      <c r="K517" s="958"/>
      <c r="L517" s="959"/>
    </row>
    <row r="518" spans="1:12" s="37" customFormat="1" ht="51" customHeight="1" thickBot="1">
      <c r="A518" s="34" t="s">
        <v>130</v>
      </c>
      <c r="B518" s="47" t="s">
        <v>243</v>
      </c>
      <c r="C518" s="960" t="s">
        <v>131</v>
      </c>
      <c r="D518" s="961"/>
      <c r="E518" s="47"/>
      <c r="F518" s="962" t="s">
        <v>132</v>
      </c>
      <c r="G518" s="952"/>
      <c r="H518" s="952"/>
      <c r="I518" s="963"/>
      <c r="J518" s="967" t="s">
        <v>133</v>
      </c>
      <c r="K518" s="967"/>
      <c r="L518" s="967"/>
    </row>
    <row r="519" spans="1:12" ht="65.25" customHeight="1" thickBot="1">
      <c r="A519" s="34" t="s">
        <v>134</v>
      </c>
      <c r="B519" s="968" t="s">
        <v>88</v>
      </c>
      <c r="C519" s="969"/>
      <c r="D519" s="969"/>
      <c r="E519" s="969"/>
      <c r="F519" s="969"/>
      <c r="G519" s="969"/>
      <c r="H519" s="969"/>
      <c r="I519" s="969"/>
      <c r="J519" s="969"/>
      <c r="K519" s="969"/>
      <c r="L519" s="969"/>
    </row>
    <row r="520" spans="1:12" ht="51" customHeight="1" thickBot="1">
      <c r="A520" s="34" t="s">
        <v>129</v>
      </c>
      <c r="B520" s="970" t="s">
        <v>426</v>
      </c>
      <c r="C520" s="971"/>
      <c r="D520" s="971"/>
      <c r="E520" s="971"/>
      <c r="F520" s="971"/>
      <c r="G520" s="971"/>
      <c r="H520" s="971"/>
      <c r="I520" s="971"/>
      <c r="J520" s="971"/>
      <c r="K520" s="971"/>
      <c r="L520" s="971"/>
    </row>
    <row r="521" ht="20.25" customHeight="1"/>
    <row r="522" ht="20.25" customHeight="1">
      <c r="A522" s="38" t="s">
        <v>125</v>
      </c>
    </row>
    <row r="523" spans="1:12" ht="36" customHeight="1" thickBot="1">
      <c r="A523" s="949" t="s">
        <v>21</v>
      </c>
      <c r="B523" s="950"/>
      <c r="C523" s="950"/>
      <c r="D523" s="950"/>
      <c r="E523" s="950"/>
      <c r="F523" s="950"/>
      <c r="G523" s="950"/>
      <c r="H523" s="950"/>
      <c r="I523" s="950"/>
      <c r="J523" s="950"/>
      <c r="K523" s="950"/>
      <c r="L523" s="57" t="s">
        <v>138</v>
      </c>
    </row>
    <row r="524" spans="1:12" ht="13.5" customHeight="1" thickBot="1">
      <c r="A524" s="927" t="s">
        <v>93</v>
      </c>
      <c r="B524" s="964" t="s">
        <v>119</v>
      </c>
      <c r="C524" s="965"/>
      <c r="D524" s="965"/>
      <c r="E524" s="965"/>
      <c r="F524" s="939" t="s">
        <v>120</v>
      </c>
      <c r="G524" s="939" t="s">
        <v>121</v>
      </c>
      <c r="H524" s="942" t="s">
        <v>122</v>
      </c>
      <c r="I524" s="943"/>
      <c r="J524" s="943"/>
      <c r="K524" s="943"/>
      <c r="L524" s="945" t="s">
        <v>124</v>
      </c>
    </row>
    <row r="525" spans="1:12" ht="13.5" customHeight="1" thickBot="1">
      <c r="A525" s="928"/>
      <c r="B525" s="48"/>
      <c r="C525" s="947" t="s">
        <v>117</v>
      </c>
      <c r="D525" s="948"/>
      <c r="E525" s="930" t="s">
        <v>123</v>
      </c>
      <c r="F525" s="940"/>
      <c r="G525" s="940"/>
      <c r="H525" s="930" t="s">
        <v>112</v>
      </c>
      <c r="I525" s="947" t="s">
        <v>117</v>
      </c>
      <c r="J525" s="948"/>
      <c r="K525" s="930" t="s">
        <v>123</v>
      </c>
      <c r="L525" s="946"/>
    </row>
    <row r="526" spans="1:12" ht="43.5" customHeight="1" thickBot="1">
      <c r="A526" s="929"/>
      <c r="B526" s="49" t="s">
        <v>112</v>
      </c>
      <c r="C526" s="50" t="s">
        <v>116</v>
      </c>
      <c r="D526" s="51" t="s">
        <v>118</v>
      </c>
      <c r="E526" s="936"/>
      <c r="F526" s="941"/>
      <c r="G526" s="941"/>
      <c r="H526" s="941"/>
      <c r="I526" s="50" t="s">
        <v>116</v>
      </c>
      <c r="J526" s="51" t="s">
        <v>118</v>
      </c>
      <c r="K526" s="936"/>
      <c r="L526" s="946"/>
    </row>
    <row r="527" spans="1:12" ht="20.25" customHeight="1" thickBot="1">
      <c r="A527" s="39">
        <v>2017</v>
      </c>
      <c r="B527" s="52">
        <v>48234.8</v>
      </c>
      <c r="C527" s="52">
        <v>36506.5</v>
      </c>
      <c r="D527" s="52">
        <v>6297.4</v>
      </c>
      <c r="E527" s="52"/>
      <c r="F527" s="52"/>
      <c r="G527" s="52"/>
      <c r="H527" s="232"/>
      <c r="I527" s="52"/>
      <c r="J527" s="52"/>
      <c r="K527" s="23"/>
      <c r="L527" s="59">
        <f>B527+H527+K527</f>
        <v>48234.8</v>
      </c>
    </row>
    <row r="528" spans="1:12" ht="21.75" customHeight="1" thickBot="1">
      <c r="A528" s="39">
        <v>2018</v>
      </c>
      <c r="B528" s="52">
        <f aca="true" t="shared" si="13" ref="B528:D529">B527*1%+B527</f>
        <v>48717.148</v>
      </c>
      <c r="C528" s="52">
        <f t="shared" si="13"/>
        <v>36871.565</v>
      </c>
      <c r="D528" s="52">
        <f t="shared" si="13"/>
        <v>6360.374</v>
      </c>
      <c r="E528" s="52"/>
      <c r="F528" s="52"/>
      <c r="G528" s="52"/>
      <c r="H528" s="232"/>
      <c r="I528" s="52"/>
      <c r="J528" s="52"/>
      <c r="K528" s="23"/>
      <c r="L528" s="59">
        <f>B528+H528+K528</f>
        <v>48717.148</v>
      </c>
    </row>
    <row r="529" spans="1:12" ht="23.25" customHeight="1" thickBot="1">
      <c r="A529" s="40">
        <v>2019</v>
      </c>
      <c r="B529" s="52">
        <f t="shared" si="13"/>
        <v>49204.31948</v>
      </c>
      <c r="C529" s="52">
        <f t="shared" si="13"/>
        <v>37240.28065</v>
      </c>
      <c r="D529" s="52">
        <f t="shared" si="13"/>
        <v>6423.977739999999</v>
      </c>
      <c r="E529" s="52"/>
      <c r="F529" s="52"/>
      <c r="G529" s="52"/>
      <c r="H529" s="232"/>
      <c r="I529" s="52"/>
      <c r="J529" s="52"/>
      <c r="K529" s="23"/>
      <c r="L529" s="59">
        <f>B529+H529+K529</f>
        <v>49204.31948</v>
      </c>
    </row>
    <row r="531" ht="12">
      <c r="A531" s="41" t="s">
        <v>135</v>
      </c>
    </row>
    <row r="532" spans="1:11" ht="27.75" customHeight="1" thickBot="1">
      <c r="A532" s="949" t="s">
        <v>21</v>
      </c>
      <c r="B532" s="950"/>
      <c r="C532" s="950"/>
      <c r="D532" s="950"/>
      <c r="E532" s="950"/>
      <c r="F532" s="950"/>
      <c r="G532" s="950"/>
      <c r="H532" s="950"/>
      <c r="I532" s="950"/>
      <c r="J532" s="950"/>
      <c r="K532" s="950"/>
    </row>
    <row r="533" spans="1:10" ht="36.75" customHeight="1" thickBot="1">
      <c r="A533" s="927" t="s">
        <v>103</v>
      </c>
      <c r="B533" s="930" t="s">
        <v>110</v>
      </c>
      <c r="C533" s="931"/>
      <c r="D533" s="932"/>
      <c r="E533" s="939" t="s">
        <v>106</v>
      </c>
      <c r="F533" s="939" t="s">
        <v>108</v>
      </c>
      <c r="G533" s="942" t="s">
        <v>107</v>
      </c>
      <c r="H533" s="943"/>
      <c r="I533" s="943"/>
      <c r="J533" s="944"/>
    </row>
    <row r="534" spans="1:10" ht="13.5" customHeight="1" thickBot="1">
      <c r="A534" s="928"/>
      <c r="B534" s="933"/>
      <c r="C534" s="934"/>
      <c r="D534" s="935"/>
      <c r="E534" s="940"/>
      <c r="F534" s="941"/>
      <c r="G534" s="54"/>
      <c r="H534" s="942" t="s">
        <v>109</v>
      </c>
      <c r="I534" s="943"/>
      <c r="J534" s="944"/>
    </row>
    <row r="535" spans="1:10" ht="12">
      <c r="A535" s="928"/>
      <c r="B535" s="933"/>
      <c r="C535" s="934"/>
      <c r="D535" s="935"/>
      <c r="E535" s="940"/>
      <c r="F535" s="53">
        <v>2016</v>
      </c>
      <c r="G535" s="53">
        <v>2017</v>
      </c>
      <c r="H535" s="53">
        <v>2018</v>
      </c>
      <c r="I535" s="53">
        <v>2019</v>
      </c>
      <c r="J535" s="53">
        <v>2020</v>
      </c>
    </row>
    <row r="536" spans="1:10" ht="24.75" customHeight="1">
      <c r="A536" s="16" t="s">
        <v>228</v>
      </c>
      <c r="B536" s="972" t="s">
        <v>262</v>
      </c>
      <c r="C536" s="972"/>
      <c r="D536" s="972"/>
      <c r="E536" s="75" t="s">
        <v>192</v>
      </c>
      <c r="F536" s="76">
        <v>9</v>
      </c>
      <c r="G536" s="76" t="s">
        <v>183</v>
      </c>
      <c r="H536" s="77" t="s">
        <v>183</v>
      </c>
      <c r="I536" s="78" t="s">
        <v>183</v>
      </c>
      <c r="J536" s="78" t="s">
        <v>183</v>
      </c>
    </row>
    <row r="537" spans="1:10" ht="27.75" customHeight="1">
      <c r="A537" s="16" t="s">
        <v>229</v>
      </c>
      <c r="B537" s="972" t="s">
        <v>262</v>
      </c>
      <c r="C537" s="972"/>
      <c r="D537" s="972"/>
      <c r="E537" s="75" t="s">
        <v>246</v>
      </c>
      <c r="F537" s="76">
        <v>2551</v>
      </c>
      <c r="G537" s="76" t="s">
        <v>183</v>
      </c>
      <c r="H537" s="77" t="s">
        <v>183</v>
      </c>
      <c r="I537" s="78" t="s">
        <v>183</v>
      </c>
      <c r="J537" s="78" t="s">
        <v>183</v>
      </c>
    </row>
    <row r="538" spans="1:10" ht="23.25" customHeight="1">
      <c r="A538" s="17" t="s">
        <v>230</v>
      </c>
      <c r="B538" s="972" t="s">
        <v>262</v>
      </c>
      <c r="C538" s="972"/>
      <c r="D538" s="972"/>
      <c r="E538" s="75" t="s">
        <v>192</v>
      </c>
      <c r="F538" s="76">
        <v>42</v>
      </c>
      <c r="G538" s="78" t="s">
        <v>183</v>
      </c>
      <c r="H538" s="77" t="s">
        <v>183</v>
      </c>
      <c r="I538" s="78" t="s">
        <v>183</v>
      </c>
      <c r="J538" s="78" t="s">
        <v>183</v>
      </c>
    </row>
    <row r="539" spans="1:10" ht="60">
      <c r="A539" s="16" t="s">
        <v>89</v>
      </c>
      <c r="B539" s="972" t="s">
        <v>262</v>
      </c>
      <c r="C539" s="972"/>
      <c r="D539" s="972"/>
      <c r="E539" s="75" t="s">
        <v>246</v>
      </c>
      <c r="F539" s="79">
        <v>4427</v>
      </c>
      <c r="G539" s="78" t="s">
        <v>183</v>
      </c>
      <c r="H539" s="77" t="s">
        <v>183</v>
      </c>
      <c r="I539" s="78" t="s">
        <v>183</v>
      </c>
      <c r="J539" s="78" t="s">
        <v>183</v>
      </c>
    </row>
    <row r="542" ht="24" customHeight="1" thickBot="1">
      <c r="A542" s="32">
        <v>18</v>
      </c>
    </row>
    <row r="543" spans="1:12" ht="24" customHeight="1" thickBot="1">
      <c r="A543" s="33" t="s">
        <v>126</v>
      </c>
      <c r="B543" s="959" t="s">
        <v>242</v>
      </c>
      <c r="C543" s="950"/>
      <c r="D543" s="950"/>
      <c r="E543" s="950"/>
      <c r="F543" s="950"/>
      <c r="G543" s="950"/>
      <c r="H543" s="950"/>
      <c r="I543" s="950"/>
      <c r="J543" s="950"/>
      <c r="K543" s="950"/>
      <c r="L543" s="950"/>
    </row>
    <row r="544" spans="1:12" ht="20.25" customHeight="1" thickBot="1">
      <c r="A544" s="34" t="s">
        <v>127</v>
      </c>
      <c r="B544" s="949" t="s">
        <v>20</v>
      </c>
      <c r="C544" s="950"/>
      <c r="D544" s="950"/>
      <c r="E544" s="950"/>
      <c r="F544" s="950"/>
      <c r="G544" s="950"/>
      <c r="H544" s="950"/>
      <c r="I544" s="950"/>
      <c r="J544" s="950"/>
      <c r="K544" s="950"/>
      <c r="L544" s="950"/>
    </row>
    <row r="545" spans="1:12" ht="28.5" customHeight="1" thickBot="1">
      <c r="A545" s="35" t="s">
        <v>128</v>
      </c>
      <c r="B545" s="949" t="s">
        <v>22</v>
      </c>
      <c r="C545" s="950"/>
      <c r="D545" s="950"/>
      <c r="E545" s="950"/>
      <c r="F545" s="950"/>
      <c r="G545" s="950"/>
      <c r="H545" s="950"/>
      <c r="I545" s="950"/>
      <c r="J545" s="950"/>
      <c r="K545" s="950"/>
      <c r="L545" s="950"/>
    </row>
    <row r="546" spans="1:12" ht="29.25" customHeight="1" thickBot="1">
      <c r="A546" s="36" t="s">
        <v>104</v>
      </c>
      <c r="B546" s="958" t="s">
        <v>91</v>
      </c>
      <c r="C546" s="958"/>
      <c r="D546" s="958"/>
      <c r="E546" s="958"/>
      <c r="F546" s="958"/>
      <c r="G546" s="958"/>
      <c r="H546" s="958"/>
      <c r="I546" s="958"/>
      <c r="J546" s="958"/>
      <c r="K546" s="958"/>
      <c r="L546" s="959"/>
    </row>
    <row r="547" spans="1:12" s="37" customFormat="1" ht="48" customHeight="1" thickBot="1">
      <c r="A547" s="34" t="s">
        <v>130</v>
      </c>
      <c r="B547" s="47" t="s">
        <v>243</v>
      </c>
      <c r="C547" s="960" t="s">
        <v>131</v>
      </c>
      <c r="D547" s="961"/>
      <c r="E547" s="47"/>
      <c r="F547" s="962" t="s">
        <v>132</v>
      </c>
      <c r="G547" s="952"/>
      <c r="H547" s="952"/>
      <c r="I547" s="963"/>
      <c r="J547" s="967" t="s">
        <v>133</v>
      </c>
      <c r="K547" s="967"/>
      <c r="L547" s="967"/>
    </row>
    <row r="548" spans="1:12" ht="81" customHeight="1" thickBot="1">
      <c r="A548" s="34" t="s">
        <v>134</v>
      </c>
      <c r="B548" s="968" t="s">
        <v>92</v>
      </c>
      <c r="C548" s="969"/>
      <c r="D548" s="969"/>
      <c r="E548" s="969"/>
      <c r="F548" s="969"/>
      <c r="G548" s="969"/>
      <c r="H548" s="969"/>
      <c r="I548" s="969"/>
      <c r="J548" s="969"/>
      <c r="K548" s="969"/>
      <c r="L548" s="969"/>
    </row>
    <row r="549" spans="1:12" ht="51" customHeight="1" thickBot="1">
      <c r="A549" s="34" t="s">
        <v>129</v>
      </c>
      <c r="B549" s="970" t="s">
        <v>426</v>
      </c>
      <c r="C549" s="971"/>
      <c r="D549" s="971"/>
      <c r="E549" s="971"/>
      <c r="F549" s="971"/>
      <c r="G549" s="971"/>
      <c r="H549" s="971"/>
      <c r="I549" s="971"/>
      <c r="J549" s="971"/>
      <c r="K549" s="971"/>
      <c r="L549" s="971"/>
    </row>
    <row r="550" ht="20.25" customHeight="1"/>
    <row r="551" ht="20.25" customHeight="1">
      <c r="A551" s="38" t="s">
        <v>125</v>
      </c>
    </row>
    <row r="552" spans="1:12" ht="36" customHeight="1" thickBot="1">
      <c r="A552" s="949" t="s">
        <v>22</v>
      </c>
      <c r="B552" s="950"/>
      <c r="C552" s="950"/>
      <c r="D552" s="950"/>
      <c r="E552" s="950"/>
      <c r="F552" s="950"/>
      <c r="G552" s="950"/>
      <c r="H552" s="950"/>
      <c r="I552" s="950"/>
      <c r="J552" s="950"/>
      <c r="K552" s="950"/>
      <c r="L552" s="57" t="s">
        <v>138</v>
      </c>
    </row>
    <row r="553" spans="1:12" ht="13.5" customHeight="1" thickBot="1">
      <c r="A553" s="927" t="s">
        <v>93</v>
      </c>
      <c r="B553" s="964" t="s">
        <v>119</v>
      </c>
      <c r="C553" s="965"/>
      <c r="D553" s="965"/>
      <c r="E553" s="965"/>
      <c r="F553" s="939" t="s">
        <v>120</v>
      </c>
      <c r="G553" s="939" t="s">
        <v>121</v>
      </c>
      <c r="H553" s="942" t="s">
        <v>122</v>
      </c>
      <c r="I553" s="943"/>
      <c r="J553" s="943"/>
      <c r="K553" s="943"/>
      <c r="L553" s="945" t="s">
        <v>124</v>
      </c>
    </row>
    <row r="554" spans="1:12" ht="13.5" customHeight="1" thickBot="1">
      <c r="A554" s="928"/>
      <c r="B554" s="48"/>
      <c r="C554" s="947" t="s">
        <v>117</v>
      </c>
      <c r="D554" s="948"/>
      <c r="E554" s="930" t="s">
        <v>123</v>
      </c>
      <c r="F554" s="940"/>
      <c r="G554" s="940"/>
      <c r="H554" s="930" t="s">
        <v>112</v>
      </c>
      <c r="I554" s="947" t="s">
        <v>117</v>
      </c>
      <c r="J554" s="948"/>
      <c r="K554" s="930" t="s">
        <v>123</v>
      </c>
      <c r="L554" s="946"/>
    </row>
    <row r="555" spans="1:12" ht="43.5" customHeight="1" thickBot="1">
      <c r="A555" s="929"/>
      <c r="B555" s="49" t="s">
        <v>112</v>
      </c>
      <c r="C555" s="50" t="s">
        <v>116</v>
      </c>
      <c r="D555" s="51" t="s">
        <v>118</v>
      </c>
      <c r="E555" s="936"/>
      <c r="F555" s="941"/>
      <c r="G555" s="941"/>
      <c r="H555" s="941"/>
      <c r="I555" s="50" t="s">
        <v>116</v>
      </c>
      <c r="J555" s="51" t="s">
        <v>118</v>
      </c>
      <c r="K555" s="936"/>
      <c r="L555" s="946"/>
    </row>
    <row r="556" spans="1:13" ht="20.25" customHeight="1" thickBot="1">
      <c r="A556" s="39">
        <v>2017</v>
      </c>
      <c r="B556" s="52"/>
      <c r="C556" s="52"/>
      <c r="D556" s="52"/>
      <c r="E556" s="52"/>
      <c r="F556" s="52"/>
      <c r="G556" s="52"/>
      <c r="H556" s="232">
        <v>7946.4</v>
      </c>
      <c r="I556" s="52">
        <v>3347.2</v>
      </c>
      <c r="J556" s="52">
        <v>577.4</v>
      </c>
      <c r="K556" s="58">
        <v>1021.7</v>
      </c>
      <c r="L556" s="59">
        <f>K556+H556</f>
        <v>8968.1</v>
      </c>
      <c r="M556" s="189"/>
    </row>
    <row r="557" spans="1:13" ht="21.75" customHeight="1" thickBot="1">
      <c r="A557" s="39">
        <v>2018</v>
      </c>
      <c r="B557" s="52"/>
      <c r="C557" s="52"/>
      <c r="D557" s="52"/>
      <c r="E557" s="52"/>
      <c r="F557" s="52"/>
      <c r="G557" s="52"/>
      <c r="H557" s="52">
        <f aca="true" t="shared" si="14" ref="H557:K558">H556*1%+H556</f>
        <v>8025.864</v>
      </c>
      <c r="I557" s="52">
        <f t="shared" si="14"/>
        <v>3380.672</v>
      </c>
      <c r="J557" s="52">
        <f t="shared" si="14"/>
        <v>583.174</v>
      </c>
      <c r="K557" s="52">
        <f t="shared" si="14"/>
        <v>1031.9170000000001</v>
      </c>
      <c r="L557" s="59">
        <f>K557+H557</f>
        <v>9057.780999999999</v>
      </c>
      <c r="M557" s="189"/>
    </row>
    <row r="558" spans="1:13" ht="23.25" customHeight="1" thickBot="1">
      <c r="A558" s="40">
        <v>2019</v>
      </c>
      <c r="B558" s="52"/>
      <c r="C558" s="52"/>
      <c r="D558" s="52"/>
      <c r="E558" s="52"/>
      <c r="F558" s="52"/>
      <c r="G558" s="52"/>
      <c r="H558" s="52">
        <f t="shared" si="14"/>
        <v>8106.12264</v>
      </c>
      <c r="I558" s="52">
        <f t="shared" si="14"/>
        <v>3414.47872</v>
      </c>
      <c r="J558" s="52">
        <f t="shared" si="14"/>
        <v>589.00574</v>
      </c>
      <c r="K558" s="52">
        <f t="shared" si="14"/>
        <v>1042.2361700000001</v>
      </c>
      <c r="L558" s="59">
        <f>K558+H558</f>
        <v>9148.35881</v>
      </c>
      <c r="M558" s="189"/>
    </row>
    <row r="560" ht="12">
      <c r="A560" s="41" t="s">
        <v>135</v>
      </c>
    </row>
    <row r="561" spans="1:11" ht="27.75" customHeight="1" thickBot="1">
      <c r="A561" s="949" t="s">
        <v>22</v>
      </c>
      <c r="B561" s="950"/>
      <c r="C561" s="950"/>
      <c r="D561" s="950"/>
      <c r="E561" s="950"/>
      <c r="F561" s="950"/>
      <c r="G561" s="950"/>
      <c r="H561" s="950"/>
      <c r="I561" s="950"/>
      <c r="J561" s="950"/>
      <c r="K561" s="950"/>
    </row>
    <row r="562" spans="1:10" ht="36.75" customHeight="1" thickBot="1">
      <c r="A562" s="927" t="s">
        <v>103</v>
      </c>
      <c r="B562" s="930" t="s">
        <v>110</v>
      </c>
      <c r="C562" s="931"/>
      <c r="D562" s="932"/>
      <c r="E562" s="939" t="s">
        <v>106</v>
      </c>
      <c r="F562" s="939" t="s">
        <v>108</v>
      </c>
      <c r="G562" s="942" t="s">
        <v>107</v>
      </c>
      <c r="H562" s="943"/>
      <c r="I562" s="943"/>
      <c r="J562" s="944"/>
    </row>
    <row r="563" spans="1:10" ht="13.5" customHeight="1" thickBot="1">
      <c r="A563" s="928"/>
      <c r="B563" s="933"/>
      <c r="C563" s="934"/>
      <c r="D563" s="935"/>
      <c r="E563" s="940"/>
      <c r="F563" s="941"/>
      <c r="G563" s="54"/>
      <c r="H563" s="942" t="s">
        <v>109</v>
      </c>
      <c r="I563" s="943"/>
      <c r="J563" s="944"/>
    </row>
    <row r="564" spans="1:10" ht="12">
      <c r="A564" s="928"/>
      <c r="B564" s="933"/>
      <c r="C564" s="934"/>
      <c r="D564" s="935"/>
      <c r="E564" s="940"/>
      <c r="F564" s="53">
        <v>2016</v>
      </c>
      <c r="G564" s="53">
        <v>2017</v>
      </c>
      <c r="H564" s="53">
        <v>2018</v>
      </c>
      <c r="I564" s="53">
        <v>2019</v>
      </c>
      <c r="J564" s="53">
        <v>2020</v>
      </c>
    </row>
    <row r="565" spans="1:10" ht="114.75" customHeight="1">
      <c r="A565" s="16" t="s">
        <v>94</v>
      </c>
      <c r="B565" s="972" t="s">
        <v>262</v>
      </c>
      <c r="C565" s="972"/>
      <c r="D565" s="972"/>
      <c r="E565" s="75" t="s">
        <v>192</v>
      </c>
      <c r="F565" s="76" t="s">
        <v>183</v>
      </c>
      <c r="G565" s="78" t="s">
        <v>183</v>
      </c>
      <c r="H565" s="77" t="s">
        <v>183</v>
      </c>
      <c r="I565" s="78" t="s">
        <v>183</v>
      </c>
      <c r="J565" s="78" t="s">
        <v>183</v>
      </c>
    </row>
    <row r="566" spans="1:10" ht="116.25" customHeight="1">
      <c r="A566" s="16" t="s">
        <v>234</v>
      </c>
      <c r="B566" s="972" t="s">
        <v>262</v>
      </c>
      <c r="C566" s="972"/>
      <c r="D566" s="972"/>
      <c r="E566" s="75" t="s">
        <v>192</v>
      </c>
      <c r="F566" s="76" t="s">
        <v>183</v>
      </c>
      <c r="G566" s="78" t="s">
        <v>183</v>
      </c>
      <c r="H566" s="77" t="s">
        <v>183</v>
      </c>
      <c r="I566" s="78" t="s">
        <v>183</v>
      </c>
      <c r="J566" s="78" t="s">
        <v>183</v>
      </c>
    </row>
    <row r="569" ht="24" customHeight="1" thickBot="1">
      <c r="A569" s="32">
        <v>19</v>
      </c>
    </row>
    <row r="570" spans="1:12" ht="24" customHeight="1" thickBot="1">
      <c r="A570" s="33" t="s">
        <v>126</v>
      </c>
      <c r="B570" s="959" t="s">
        <v>242</v>
      </c>
      <c r="C570" s="950"/>
      <c r="D570" s="950"/>
      <c r="E570" s="950"/>
      <c r="F570" s="950"/>
      <c r="G570" s="950"/>
      <c r="H570" s="950"/>
      <c r="I570" s="950"/>
      <c r="J570" s="950"/>
      <c r="K570" s="950"/>
      <c r="L570" s="950"/>
    </row>
    <row r="571" spans="1:12" ht="20.25" customHeight="1" thickBot="1">
      <c r="A571" s="34" t="s">
        <v>127</v>
      </c>
      <c r="B571" s="949" t="s">
        <v>23</v>
      </c>
      <c r="C571" s="950"/>
      <c r="D571" s="950"/>
      <c r="E571" s="950"/>
      <c r="F571" s="950"/>
      <c r="G571" s="950"/>
      <c r="H571" s="950"/>
      <c r="I571" s="950"/>
      <c r="J571" s="950"/>
      <c r="K571" s="950"/>
      <c r="L571" s="950"/>
    </row>
    <row r="572" spans="1:12" ht="28.5" customHeight="1" thickBot="1">
      <c r="A572" s="35" t="s">
        <v>128</v>
      </c>
      <c r="B572" s="949" t="s">
        <v>24</v>
      </c>
      <c r="C572" s="950"/>
      <c r="D572" s="950"/>
      <c r="E572" s="950"/>
      <c r="F572" s="950"/>
      <c r="G572" s="950"/>
      <c r="H572" s="950"/>
      <c r="I572" s="950"/>
      <c r="J572" s="950"/>
      <c r="K572" s="950"/>
      <c r="L572" s="950"/>
    </row>
    <row r="573" spans="1:12" ht="29.25" customHeight="1" thickBot="1">
      <c r="A573" s="36" t="s">
        <v>104</v>
      </c>
      <c r="B573" s="973" t="s">
        <v>428</v>
      </c>
      <c r="C573" s="973"/>
      <c r="D573" s="973"/>
      <c r="E573" s="973"/>
      <c r="F573" s="973"/>
      <c r="G573" s="973"/>
      <c r="H573" s="973"/>
      <c r="I573" s="973"/>
      <c r="J573" s="973"/>
      <c r="K573" s="973"/>
      <c r="L573" s="974"/>
    </row>
    <row r="574" spans="1:12" s="37" customFormat="1" ht="48" customHeight="1" thickBot="1">
      <c r="A574" s="34" t="s">
        <v>130</v>
      </c>
      <c r="B574" s="47"/>
      <c r="C574" s="960" t="s">
        <v>131</v>
      </c>
      <c r="D574" s="961"/>
      <c r="E574" s="47" t="s">
        <v>243</v>
      </c>
      <c r="F574" s="962" t="s">
        <v>132</v>
      </c>
      <c r="G574" s="952"/>
      <c r="H574" s="952"/>
      <c r="I574" s="963"/>
      <c r="J574" s="967" t="s">
        <v>133</v>
      </c>
      <c r="K574" s="967"/>
      <c r="L574" s="967"/>
    </row>
    <row r="575" spans="1:12" ht="65.25" customHeight="1" thickBot="1">
      <c r="A575" s="34" t="s">
        <v>134</v>
      </c>
      <c r="B575" s="968" t="s">
        <v>97</v>
      </c>
      <c r="C575" s="969"/>
      <c r="D575" s="969"/>
      <c r="E575" s="969"/>
      <c r="F575" s="969"/>
      <c r="G575" s="969"/>
      <c r="H575" s="969"/>
      <c r="I575" s="969"/>
      <c r="J575" s="969"/>
      <c r="K575" s="969"/>
      <c r="L575" s="969"/>
    </row>
    <row r="576" spans="1:12" ht="51" customHeight="1" thickBot="1">
      <c r="A576" s="34" t="s">
        <v>129</v>
      </c>
      <c r="B576" s="970" t="s">
        <v>426</v>
      </c>
      <c r="C576" s="971"/>
      <c r="D576" s="971"/>
      <c r="E576" s="971"/>
      <c r="F576" s="971"/>
      <c r="G576" s="971"/>
      <c r="H576" s="971"/>
      <c r="I576" s="971"/>
      <c r="J576" s="971"/>
      <c r="K576" s="971"/>
      <c r="L576" s="971"/>
    </row>
    <row r="577" ht="20.25" customHeight="1"/>
    <row r="578" ht="20.25" customHeight="1">
      <c r="A578" s="38" t="s">
        <v>125</v>
      </c>
    </row>
    <row r="579" spans="1:12" ht="36" customHeight="1" thickBot="1">
      <c r="A579" s="949" t="s">
        <v>24</v>
      </c>
      <c r="B579" s="950"/>
      <c r="C579" s="950"/>
      <c r="D579" s="950"/>
      <c r="E579" s="950"/>
      <c r="F579" s="950"/>
      <c r="G579" s="950"/>
      <c r="H579" s="950"/>
      <c r="I579" s="950"/>
      <c r="J579" s="950"/>
      <c r="K579" s="950"/>
      <c r="L579" s="57" t="s">
        <v>138</v>
      </c>
    </row>
    <row r="580" spans="1:12" ht="13.5" customHeight="1" thickBot="1">
      <c r="A580" s="927" t="s">
        <v>95</v>
      </c>
      <c r="B580" s="964" t="s">
        <v>119</v>
      </c>
      <c r="C580" s="965"/>
      <c r="D580" s="965"/>
      <c r="E580" s="965"/>
      <c r="F580" s="939" t="s">
        <v>120</v>
      </c>
      <c r="G580" s="939" t="s">
        <v>121</v>
      </c>
      <c r="H580" s="942" t="s">
        <v>122</v>
      </c>
      <c r="I580" s="943"/>
      <c r="J580" s="943"/>
      <c r="K580" s="943"/>
      <c r="L580" s="945" t="s">
        <v>124</v>
      </c>
    </row>
    <row r="581" spans="1:12" ht="13.5" customHeight="1" thickBot="1">
      <c r="A581" s="928"/>
      <c r="B581" s="48"/>
      <c r="C581" s="947" t="s">
        <v>117</v>
      </c>
      <c r="D581" s="948"/>
      <c r="E581" s="930" t="s">
        <v>123</v>
      </c>
      <c r="F581" s="940"/>
      <c r="G581" s="940"/>
      <c r="H581" s="930" t="s">
        <v>112</v>
      </c>
      <c r="I581" s="947" t="s">
        <v>117</v>
      </c>
      <c r="J581" s="948"/>
      <c r="K581" s="930" t="s">
        <v>123</v>
      </c>
      <c r="L581" s="946"/>
    </row>
    <row r="582" spans="1:12" ht="43.5" customHeight="1" thickBot="1">
      <c r="A582" s="929"/>
      <c r="B582" s="49" t="s">
        <v>112</v>
      </c>
      <c r="C582" s="50" t="s">
        <v>116</v>
      </c>
      <c r="D582" s="51" t="s">
        <v>118</v>
      </c>
      <c r="E582" s="936"/>
      <c r="F582" s="941"/>
      <c r="G582" s="941"/>
      <c r="H582" s="941"/>
      <c r="I582" s="50" t="s">
        <v>116</v>
      </c>
      <c r="J582" s="51" t="s">
        <v>118</v>
      </c>
      <c r="K582" s="936"/>
      <c r="L582" s="946"/>
    </row>
    <row r="583" spans="1:12" ht="20.25" customHeight="1" thickBot="1">
      <c r="A583" s="39">
        <v>2017</v>
      </c>
      <c r="B583" s="52">
        <v>153855.5</v>
      </c>
      <c r="C583" s="52">
        <v>127567.8</v>
      </c>
      <c r="D583" s="52">
        <v>22005.4</v>
      </c>
      <c r="E583" s="52"/>
      <c r="F583" s="52"/>
      <c r="G583" s="52"/>
      <c r="H583" s="232"/>
      <c r="I583" s="52"/>
      <c r="J583" s="52"/>
      <c r="K583" s="58"/>
      <c r="L583" s="59">
        <f>B583+F583+G583+H583</f>
        <v>153855.5</v>
      </c>
    </row>
    <row r="584" spans="1:12" ht="21.75" customHeight="1" thickBot="1">
      <c r="A584" s="39">
        <v>2018</v>
      </c>
      <c r="B584" s="52">
        <f aca="true" t="shared" si="15" ref="B584:D585">B583*1%+B583</f>
        <v>155394.055</v>
      </c>
      <c r="C584" s="52">
        <f t="shared" si="15"/>
        <v>128843.478</v>
      </c>
      <c r="D584" s="52">
        <f t="shared" si="15"/>
        <v>22225.454</v>
      </c>
      <c r="E584" s="52"/>
      <c r="F584" s="52"/>
      <c r="G584" s="52"/>
      <c r="H584" s="232"/>
      <c r="I584" s="52"/>
      <c r="J584" s="52"/>
      <c r="K584" s="58"/>
      <c r="L584" s="59">
        <f>B584+F584+G584+H584</f>
        <v>155394.055</v>
      </c>
    </row>
    <row r="585" spans="1:12" ht="23.25" customHeight="1" thickBot="1">
      <c r="A585" s="40">
        <v>2019</v>
      </c>
      <c r="B585" s="52">
        <f t="shared" si="15"/>
        <v>156947.99555</v>
      </c>
      <c r="C585" s="52">
        <f t="shared" si="15"/>
        <v>130131.91278</v>
      </c>
      <c r="D585" s="52">
        <f t="shared" si="15"/>
        <v>22447.708540000003</v>
      </c>
      <c r="E585" s="52"/>
      <c r="F585" s="52"/>
      <c r="G585" s="52"/>
      <c r="H585" s="233"/>
      <c r="I585" s="52"/>
      <c r="J585" s="52"/>
      <c r="K585" s="58"/>
      <c r="L585" s="59">
        <f>B585+F585+G585+H585</f>
        <v>156947.99555</v>
      </c>
    </row>
    <row r="587" ht="12">
      <c r="A587" s="41" t="s">
        <v>135</v>
      </c>
    </row>
    <row r="588" spans="1:11" ht="27.75" customHeight="1" thickBot="1">
      <c r="A588" s="949" t="s">
        <v>24</v>
      </c>
      <c r="B588" s="950"/>
      <c r="C588" s="950"/>
      <c r="D588" s="950"/>
      <c r="E588" s="950"/>
      <c r="F588" s="950"/>
      <c r="G588" s="950"/>
      <c r="H588" s="950"/>
      <c r="I588" s="950"/>
      <c r="J588" s="950"/>
      <c r="K588" s="950"/>
    </row>
    <row r="589" spans="1:10" ht="36.75" customHeight="1" thickBot="1">
      <c r="A589" s="927" t="s">
        <v>103</v>
      </c>
      <c r="B589" s="930" t="s">
        <v>110</v>
      </c>
      <c r="C589" s="931"/>
      <c r="D589" s="932"/>
      <c r="E589" s="939" t="s">
        <v>106</v>
      </c>
      <c r="F589" s="939" t="s">
        <v>108</v>
      </c>
      <c r="G589" s="942" t="s">
        <v>107</v>
      </c>
      <c r="H589" s="943"/>
      <c r="I589" s="943"/>
      <c r="J589" s="944"/>
    </row>
    <row r="590" spans="1:10" ht="13.5" customHeight="1" thickBot="1">
      <c r="A590" s="928"/>
      <c r="B590" s="933"/>
      <c r="C590" s="934"/>
      <c r="D590" s="935"/>
      <c r="E590" s="940"/>
      <c r="F590" s="941"/>
      <c r="G590" s="54"/>
      <c r="H590" s="942" t="s">
        <v>109</v>
      </c>
      <c r="I590" s="943"/>
      <c r="J590" s="944"/>
    </row>
    <row r="591" spans="1:10" ht="12">
      <c r="A591" s="928"/>
      <c r="B591" s="933"/>
      <c r="C591" s="934"/>
      <c r="D591" s="935"/>
      <c r="E591" s="940"/>
      <c r="F591" s="53">
        <v>2016</v>
      </c>
      <c r="G591" s="53">
        <v>2017</v>
      </c>
      <c r="H591" s="53">
        <v>2018</v>
      </c>
      <c r="I591" s="53">
        <v>2019</v>
      </c>
      <c r="J591" s="53">
        <v>2020</v>
      </c>
    </row>
    <row r="592" spans="1:10" ht="114" customHeight="1">
      <c r="A592" s="16" t="s">
        <v>98</v>
      </c>
      <c r="B592" s="972" t="s">
        <v>262</v>
      </c>
      <c r="C592" s="972"/>
      <c r="D592" s="972"/>
      <c r="E592" s="75" t="s">
        <v>192</v>
      </c>
      <c r="F592" s="76">
        <v>65</v>
      </c>
      <c r="G592" s="78">
        <v>70</v>
      </c>
      <c r="H592" s="77">
        <v>70</v>
      </c>
      <c r="I592" s="78">
        <v>70</v>
      </c>
      <c r="J592" s="78">
        <v>70</v>
      </c>
    </row>
    <row r="595" ht="24" customHeight="1" thickBot="1">
      <c r="A595" s="32">
        <v>20</v>
      </c>
    </row>
    <row r="596" spans="1:12" ht="24" customHeight="1" thickBot="1">
      <c r="A596" s="33" t="s">
        <v>126</v>
      </c>
      <c r="B596" s="959" t="s">
        <v>242</v>
      </c>
      <c r="C596" s="950"/>
      <c r="D596" s="950"/>
      <c r="E596" s="950"/>
      <c r="F596" s="950"/>
      <c r="G596" s="950"/>
      <c r="H596" s="950"/>
      <c r="I596" s="950"/>
      <c r="J596" s="950"/>
      <c r="K596" s="950"/>
      <c r="L596" s="950"/>
    </row>
    <row r="597" spans="1:12" ht="20.25" customHeight="1" thickBot="1">
      <c r="A597" s="34" t="s">
        <v>127</v>
      </c>
      <c r="B597" s="949" t="s">
        <v>23</v>
      </c>
      <c r="C597" s="950"/>
      <c r="D597" s="950"/>
      <c r="E597" s="950"/>
      <c r="F597" s="950"/>
      <c r="G597" s="950"/>
      <c r="H597" s="950"/>
      <c r="I597" s="950"/>
      <c r="J597" s="950"/>
      <c r="K597" s="950"/>
      <c r="L597" s="950"/>
    </row>
    <row r="598" spans="1:12" ht="28.5" customHeight="1" thickBot="1">
      <c r="A598" s="35" t="s">
        <v>128</v>
      </c>
      <c r="B598" s="949" t="s">
        <v>25</v>
      </c>
      <c r="C598" s="950"/>
      <c r="D598" s="950"/>
      <c r="E598" s="950"/>
      <c r="F598" s="950"/>
      <c r="G598" s="950"/>
      <c r="H598" s="950"/>
      <c r="I598" s="950"/>
      <c r="J598" s="950"/>
      <c r="K598" s="950"/>
      <c r="L598" s="950"/>
    </row>
    <row r="599" spans="1:12" ht="29.25" customHeight="1" thickBot="1">
      <c r="A599" s="36" t="s">
        <v>104</v>
      </c>
      <c r="B599" s="973" t="s">
        <v>428</v>
      </c>
      <c r="C599" s="973"/>
      <c r="D599" s="973"/>
      <c r="E599" s="973"/>
      <c r="F599" s="973"/>
      <c r="G599" s="973"/>
      <c r="H599" s="973"/>
      <c r="I599" s="973"/>
      <c r="J599" s="973"/>
      <c r="K599" s="973"/>
      <c r="L599" s="974"/>
    </row>
    <row r="600" spans="1:12" s="37" customFormat="1" ht="43.5" customHeight="1" thickBot="1">
      <c r="A600" s="34" t="s">
        <v>130</v>
      </c>
      <c r="B600" s="47"/>
      <c r="C600" s="960" t="s">
        <v>131</v>
      </c>
      <c r="D600" s="961"/>
      <c r="E600" s="47" t="s">
        <v>243</v>
      </c>
      <c r="F600" s="962" t="s">
        <v>132</v>
      </c>
      <c r="G600" s="952"/>
      <c r="H600" s="952"/>
      <c r="I600" s="963"/>
      <c r="J600" s="967" t="s">
        <v>133</v>
      </c>
      <c r="K600" s="967"/>
      <c r="L600" s="967"/>
    </row>
    <row r="601" spans="1:12" ht="65.25" customHeight="1" thickBot="1">
      <c r="A601" s="34" t="s">
        <v>134</v>
      </c>
      <c r="B601" s="968" t="s">
        <v>99</v>
      </c>
      <c r="C601" s="969"/>
      <c r="D601" s="969"/>
      <c r="E601" s="969"/>
      <c r="F601" s="969"/>
      <c r="G601" s="969"/>
      <c r="H601" s="969"/>
      <c r="I601" s="969"/>
      <c r="J601" s="969"/>
      <c r="K601" s="969"/>
      <c r="L601" s="969"/>
    </row>
    <row r="602" spans="1:12" ht="51" customHeight="1" thickBot="1">
      <c r="A602" s="34" t="s">
        <v>129</v>
      </c>
      <c r="B602" s="970" t="s">
        <v>426</v>
      </c>
      <c r="C602" s="971"/>
      <c r="D602" s="971"/>
      <c r="E602" s="971"/>
      <c r="F602" s="971"/>
      <c r="G602" s="971"/>
      <c r="H602" s="971"/>
      <c r="I602" s="971"/>
      <c r="J602" s="971"/>
      <c r="K602" s="971"/>
      <c r="L602" s="971"/>
    </row>
    <row r="603" ht="20.25" customHeight="1"/>
    <row r="604" ht="20.25" customHeight="1">
      <c r="A604" s="38" t="s">
        <v>125</v>
      </c>
    </row>
    <row r="605" spans="1:12" ht="36" customHeight="1" thickBot="1">
      <c r="A605" s="949" t="s">
        <v>25</v>
      </c>
      <c r="B605" s="950"/>
      <c r="C605" s="950"/>
      <c r="D605" s="950"/>
      <c r="E605" s="950"/>
      <c r="F605" s="950"/>
      <c r="G605" s="950"/>
      <c r="H605" s="950"/>
      <c r="I605" s="950"/>
      <c r="J605" s="950"/>
      <c r="K605" s="950"/>
      <c r="L605" s="57" t="s">
        <v>138</v>
      </c>
    </row>
    <row r="606" spans="1:12" ht="13.5" customHeight="1" thickBot="1">
      <c r="A606" s="927" t="s">
        <v>95</v>
      </c>
      <c r="B606" s="964" t="s">
        <v>119</v>
      </c>
      <c r="C606" s="965"/>
      <c r="D606" s="965"/>
      <c r="E606" s="965"/>
      <c r="F606" s="939" t="s">
        <v>120</v>
      </c>
      <c r="G606" s="939" t="s">
        <v>121</v>
      </c>
      <c r="H606" s="942" t="s">
        <v>122</v>
      </c>
      <c r="I606" s="943"/>
      <c r="J606" s="943"/>
      <c r="K606" s="943"/>
      <c r="L606" s="945" t="s">
        <v>124</v>
      </c>
    </row>
    <row r="607" spans="1:12" ht="13.5" customHeight="1" thickBot="1">
      <c r="A607" s="928"/>
      <c r="B607" s="48"/>
      <c r="C607" s="947" t="s">
        <v>117</v>
      </c>
      <c r="D607" s="948"/>
      <c r="E607" s="930" t="s">
        <v>123</v>
      </c>
      <c r="F607" s="940"/>
      <c r="G607" s="940"/>
      <c r="H607" s="930" t="s">
        <v>112</v>
      </c>
      <c r="I607" s="947" t="s">
        <v>117</v>
      </c>
      <c r="J607" s="948"/>
      <c r="K607" s="930" t="s">
        <v>123</v>
      </c>
      <c r="L607" s="946"/>
    </row>
    <row r="608" spans="1:12" ht="43.5" customHeight="1" thickBot="1">
      <c r="A608" s="929"/>
      <c r="B608" s="49" t="s">
        <v>112</v>
      </c>
      <c r="C608" s="50" t="s">
        <v>116</v>
      </c>
      <c r="D608" s="51" t="s">
        <v>118</v>
      </c>
      <c r="E608" s="936"/>
      <c r="F608" s="941"/>
      <c r="G608" s="941"/>
      <c r="H608" s="941"/>
      <c r="I608" s="50" t="s">
        <v>116</v>
      </c>
      <c r="J608" s="51" t="s">
        <v>118</v>
      </c>
      <c r="K608" s="936"/>
      <c r="L608" s="946"/>
    </row>
    <row r="609" spans="1:12" ht="20.25" customHeight="1" thickBot="1">
      <c r="A609" s="39">
        <v>2017</v>
      </c>
      <c r="B609" s="52"/>
      <c r="C609" s="52"/>
      <c r="D609" s="52"/>
      <c r="E609" s="52"/>
      <c r="F609" s="52"/>
      <c r="G609" s="52"/>
      <c r="H609" s="232">
        <v>1710</v>
      </c>
      <c r="I609" s="52">
        <v>440</v>
      </c>
      <c r="J609" s="52">
        <v>83.6</v>
      </c>
      <c r="K609" s="58">
        <v>90</v>
      </c>
      <c r="L609" s="59">
        <f>B609+F609+G609+H609+K609</f>
        <v>1800</v>
      </c>
    </row>
    <row r="610" spans="1:12" ht="21.75" customHeight="1" thickBot="1">
      <c r="A610" s="39">
        <v>2018</v>
      </c>
      <c r="B610" s="52"/>
      <c r="C610" s="52"/>
      <c r="D610" s="52"/>
      <c r="E610" s="52"/>
      <c r="F610" s="52"/>
      <c r="G610" s="52"/>
      <c r="H610" s="52">
        <f aca="true" t="shared" si="16" ref="H610:K611">H609*1%+H609</f>
        <v>1727.1</v>
      </c>
      <c r="I610" s="52">
        <f t="shared" si="16"/>
        <v>444.4</v>
      </c>
      <c r="J610" s="52">
        <f t="shared" si="16"/>
        <v>84.43599999999999</v>
      </c>
      <c r="K610" s="52">
        <f t="shared" si="16"/>
        <v>90.9</v>
      </c>
      <c r="L610" s="59">
        <f>B610+F610+G610+H610+K610</f>
        <v>1818</v>
      </c>
    </row>
    <row r="611" spans="1:12" ht="23.25" customHeight="1" thickBot="1">
      <c r="A611" s="40">
        <v>2019</v>
      </c>
      <c r="B611" s="52"/>
      <c r="C611" s="52"/>
      <c r="D611" s="52"/>
      <c r="E611" s="52"/>
      <c r="F611" s="52"/>
      <c r="G611" s="52"/>
      <c r="H611" s="52">
        <f t="shared" si="16"/>
        <v>1744.3709999999999</v>
      </c>
      <c r="I611" s="52">
        <f t="shared" si="16"/>
        <v>448.844</v>
      </c>
      <c r="J611" s="52">
        <f t="shared" si="16"/>
        <v>85.28035999999999</v>
      </c>
      <c r="K611" s="52">
        <f t="shared" si="16"/>
        <v>91.80900000000001</v>
      </c>
      <c r="L611" s="59">
        <f>B611+F611+G611+H611+K611</f>
        <v>1836.1799999999998</v>
      </c>
    </row>
    <row r="613" ht="12">
      <c r="A613" s="41" t="s">
        <v>135</v>
      </c>
    </row>
    <row r="614" spans="1:11" ht="27.75" customHeight="1" thickBot="1">
      <c r="A614" s="949" t="s">
        <v>25</v>
      </c>
      <c r="B614" s="950"/>
      <c r="C614" s="950"/>
      <c r="D614" s="950"/>
      <c r="E614" s="950"/>
      <c r="F614" s="950"/>
      <c r="G614" s="950"/>
      <c r="H614" s="950"/>
      <c r="I614" s="950"/>
      <c r="J614" s="950"/>
      <c r="K614" s="950"/>
    </row>
    <row r="615" spans="1:10" ht="36.75" customHeight="1" thickBot="1">
      <c r="A615" s="927" t="s">
        <v>103</v>
      </c>
      <c r="B615" s="930" t="s">
        <v>110</v>
      </c>
      <c r="C615" s="931"/>
      <c r="D615" s="932"/>
      <c r="E615" s="939" t="s">
        <v>106</v>
      </c>
      <c r="F615" s="939" t="s">
        <v>108</v>
      </c>
      <c r="G615" s="942" t="s">
        <v>107</v>
      </c>
      <c r="H615" s="943"/>
      <c r="I615" s="943"/>
      <c r="J615" s="944"/>
    </row>
    <row r="616" spans="1:10" ht="13.5" customHeight="1" thickBot="1">
      <c r="A616" s="928"/>
      <c r="B616" s="933"/>
      <c r="C616" s="934"/>
      <c r="D616" s="935"/>
      <c r="E616" s="940"/>
      <c r="F616" s="941"/>
      <c r="G616" s="54"/>
      <c r="H616" s="942" t="s">
        <v>109</v>
      </c>
      <c r="I616" s="943"/>
      <c r="J616" s="944"/>
    </row>
    <row r="617" spans="1:10" ht="12">
      <c r="A617" s="928"/>
      <c r="B617" s="933"/>
      <c r="C617" s="934"/>
      <c r="D617" s="935"/>
      <c r="E617" s="940"/>
      <c r="F617" s="53">
        <v>2016</v>
      </c>
      <c r="G617" s="53">
        <v>2017</v>
      </c>
      <c r="H617" s="53">
        <v>2018</v>
      </c>
      <c r="I617" s="53">
        <v>2019</v>
      </c>
      <c r="J617" s="53">
        <v>2020</v>
      </c>
    </row>
    <row r="618" spans="1:10" ht="73.5" customHeight="1">
      <c r="A618" s="17" t="s">
        <v>238</v>
      </c>
      <c r="B618" s="972" t="s">
        <v>262</v>
      </c>
      <c r="C618" s="972"/>
      <c r="D618" s="972"/>
      <c r="E618" s="75" t="s">
        <v>149</v>
      </c>
      <c r="F618" s="76" t="s">
        <v>408</v>
      </c>
      <c r="G618" s="76" t="s">
        <v>408</v>
      </c>
      <c r="H618" s="76" t="s">
        <v>408</v>
      </c>
      <c r="I618" s="76" t="s">
        <v>408</v>
      </c>
      <c r="J618" s="76" t="s">
        <v>408</v>
      </c>
    </row>
    <row r="619" spans="1:10" ht="60">
      <c r="A619" s="17" t="s">
        <v>241</v>
      </c>
      <c r="B619" s="972" t="s">
        <v>262</v>
      </c>
      <c r="C619" s="972"/>
      <c r="D619" s="972"/>
      <c r="E619" s="75" t="s">
        <v>149</v>
      </c>
      <c r="F619" s="76">
        <v>1</v>
      </c>
      <c r="G619" s="78">
        <v>1.2</v>
      </c>
      <c r="H619" s="77">
        <v>1.2</v>
      </c>
      <c r="I619" s="78">
        <v>1.2</v>
      </c>
      <c r="J619" s="78">
        <v>1.2</v>
      </c>
    </row>
  </sheetData>
  <sheetProtection/>
  <mergeCells count="683">
    <mergeCell ref="A397:A399"/>
    <mergeCell ref="G347:J347"/>
    <mergeCell ref="G348:J348"/>
    <mergeCell ref="B350:D350"/>
    <mergeCell ref="F340:F341"/>
    <mergeCell ref="G340:J340"/>
    <mergeCell ref="G341:J341"/>
    <mergeCell ref="G372:J372"/>
    <mergeCell ref="G373:J373"/>
    <mergeCell ref="G397:J397"/>
    <mergeCell ref="B400:D400"/>
    <mergeCell ref="B397:D399"/>
    <mergeCell ref="G398:J398"/>
    <mergeCell ref="F397:F398"/>
    <mergeCell ref="E397:E399"/>
    <mergeCell ref="B347:D349"/>
    <mergeCell ref="E347:E349"/>
    <mergeCell ref="F347:F348"/>
    <mergeCell ref="E389:E390"/>
    <mergeCell ref="H389:H390"/>
    <mergeCell ref="I389:J389"/>
    <mergeCell ref="E364:E365"/>
    <mergeCell ref="H364:H365"/>
    <mergeCell ref="K389:K390"/>
    <mergeCell ref="A396:J396"/>
    <mergeCell ref="B383:L383"/>
    <mergeCell ref="B384:L384"/>
    <mergeCell ref="A387:K387"/>
    <mergeCell ref="A388:A390"/>
    <mergeCell ref="B388:E388"/>
    <mergeCell ref="F388:F390"/>
    <mergeCell ref="G388:G390"/>
    <mergeCell ref="H388:K388"/>
    <mergeCell ref="L388:L390"/>
    <mergeCell ref="C389:D389"/>
    <mergeCell ref="B375:D375"/>
    <mergeCell ref="B378:L378"/>
    <mergeCell ref="B379:L379"/>
    <mergeCell ref="B380:L380"/>
    <mergeCell ref="B381:L381"/>
    <mergeCell ref="C382:D382"/>
    <mergeCell ref="F382:I382"/>
    <mergeCell ref="J382:L382"/>
    <mergeCell ref="H363:K363"/>
    <mergeCell ref="L363:L365"/>
    <mergeCell ref="A372:A374"/>
    <mergeCell ref="B372:D374"/>
    <mergeCell ref="E372:E374"/>
    <mergeCell ref="F372:F373"/>
    <mergeCell ref="B358:L358"/>
    <mergeCell ref="B359:L359"/>
    <mergeCell ref="A362:K362"/>
    <mergeCell ref="A363:A365"/>
    <mergeCell ref="B363:E363"/>
    <mergeCell ref="F363:F365"/>
    <mergeCell ref="C364:D364"/>
    <mergeCell ref="I364:J364"/>
    <mergeCell ref="K364:K365"/>
    <mergeCell ref="G363:G365"/>
    <mergeCell ref="B343:D343"/>
    <mergeCell ref="B353:L353"/>
    <mergeCell ref="B354:L354"/>
    <mergeCell ref="B355:L355"/>
    <mergeCell ref="B356:L356"/>
    <mergeCell ref="C357:D357"/>
    <mergeCell ref="F357:I357"/>
    <mergeCell ref="J357:L357"/>
    <mergeCell ref="A346:J346"/>
    <mergeCell ref="A347:A349"/>
    <mergeCell ref="A339:J339"/>
    <mergeCell ref="A340:A342"/>
    <mergeCell ref="B340:D342"/>
    <mergeCell ref="E340:E342"/>
    <mergeCell ref="L331:L333"/>
    <mergeCell ref="C332:D332"/>
    <mergeCell ref="E332:E333"/>
    <mergeCell ref="H332:H333"/>
    <mergeCell ref="I332:J332"/>
    <mergeCell ref="K332:K333"/>
    <mergeCell ref="B327:L327"/>
    <mergeCell ref="A330:K330"/>
    <mergeCell ref="A331:A333"/>
    <mergeCell ref="B331:E331"/>
    <mergeCell ref="F331:F333"/>
    <mergeCell ref="G331:G333"/>
    <mergeCell ref="H331:K331"/>
    <mergeCell ref="J109:L109"/>
    <mergeCell ref="B107:L107"/>
    <mergeCell ref="B127:D127"/>
    <mergeCell ref="B324:L324"/>
    <mergeCell ref="C325:D325"/>
    <mergeCell ref="F325:I325"/>
    <mergeCell ref="J325:L325"/>
    <mergeCell ref="G133:J133"/>
    <mergeCell ref="H134:J134"/>
    <mergeCell ref="B108:L108"/>
    <mergeCell ref="C109:D109"/>
    <mergeCell ref="F109:I109"/>
    <mergeCell ref="B124:D126"/>
    <mergeCell ref="B105:L105"/>
    <mergeCell ref="B106:L106"/>
    <mergeCell ref="I116:J116"/>
    <mergeCell ref="H116:H117"/>
    <mergeCell ref="B110:L110"/>
    <mergeCell ref="F115:F117"/>
    <mergeCell ref="B111:L111"/>
    <mergeCell ref="A114:K114"/>
    <mergeCell ref="H115:K115"/>
    <mergeCell ref="A115:A117"/>
    <mergeCell ref="K116:K117"/>
    <mergeCell ref="A123:K123"/>
    <mergeCell ref="B115:E115"/>
    <mergeCell ref="G115:G117"/>
    <mergeCell ref="L115:L117"/>
    <mergeCell ref="C116:D116"/>
    <mergeCell ref="A124:A126"/>
    <mergeCell ref="B136:D136"/>
    <mergeCell ref="G124:J124"/>
    <mergeCell ref="H125:J125"/>
    <mergeCell ref="E124:E126"/>
    <mergeCell ref="F133:F134"/>
    <mergeCell ref="A132:K132"/>
    <mergeCell ref="F124:F125"/>
    <mergeCell ref="B128:D128"/>
    <mergeCell ref="B129:D129"/>
    <mergeCell ref="A133:A135"/>
    <mergeCell ref="B133:D135"/>
    <mergeCell ref="E133:E135"/>
    <mergeCell ref="A160:K160"/>
    <mergeCell ref="H152:K152"/>
    <mergeCell ref="B138:D138"/>
    <mergeCell ref="A152:A154"/>
    <mergeCell ref="B144:L144"/>
    <mergeCell ref="B142:L142"/>
    <mergeCell ref="B143:L143"/>
    <mergeCell ref="E116:E117"/>
    <mergeCell ref="B164:D164"/>
    <mergeCell ref="B145:L145"/>
    <mergeCell ref="C146:D146"/>
    <mergeCell ref="F146:I146"/>
    <mergeCell ref="H162:J162"/>
    <mergeCell ref="K153:K154"/>
    <mergeCell ref="B147:L147"/>
    <mergeCell ref="J146:L146"/>
    <mergeCell ref="A171:K171"/>
    <mergeCell ref="A172:A174"/>
    <mergeCell ref="E161:E163"/>
    <mergeCell ref="A161:A163"/>
    <mergeCell ref="B137:D137"/>
    <mergeCell ref="L152:L154"/>
    <mergeCell ref="I153:J153"/>
    <mergeCell ref="C153:D153"/>
    <mergeCell ref="B148:L148"/>
    <mergeCell ref="A151:K151"/>
    <mergeCell ref="B165:D165"/>
    <mergeCell ref="B166:D166"/>
    <mergeCell ref="B161:D163"/>
    <mergeCell ref="G161:J161"/>
    <mergeCell ref="F152:F154"/>
    <mergeCell ref="E153:E154"/>
    <mergeCell ref="H153:H154"/>
    <mergeCell ref="B152:E152"/>
    <mergeCell ref="G152:G154"/>
    <mergeCell ref="F161:F162"/>
    <mergeCell ref="E172:E174"/>
    <mergeCell ref="F172:F173"/>
    <mergeCell ref="G172:J172"/>
    <mergeCell ref="H173:J173"/>
    <mergeCell ref="B181:L181"/>
    <mergeCell ref="B175:D175"/>
    <mergeCell ref="B177:D177"/>
    <mergeCell ref="B172:D174"/>
    <mergeCell ref="B176:D176"/>
    <mergeCell ref="B182:L182"/>
    <mergeCell ref="A190:K190"/>
    <mergeCell ref="B183:L183"/>
    <mergeCell ref="B184:L184"/>
    <mergeCell ref="C185:D185"/>
    <mergeCell ref="J185:L185"/>
    <mergeCell ref="F185:I185"/>
    <mergeCell ref="L191:L193"/>
    <mergeCell ref="G191:G193"/>
    <mergeCell ref="B186:L186"/>
    <mergeCell ref="B187:L187"/>
    <mergeCell ref="E192:E193"/>
    <mergeCell ref="H192:H193"/>
    <mergeCell ref="I192:J192"/>
    <mergeCell ref="F191:F193"/>
    <mergeCell ref="B191:E191"/>
    <mergeCell ref="K192:K193"/>
    <mergeCell ref="C192:D192"/>
    <mergeCell ref="G200:J200"/>
    <mergeCell ref="A199:K199"/>
    <mergeCell ref="A191:A193"/>
    <mergeCell ref="A200:A202"/>
    <mergeCell ref="B200:D202"/>
    <mergeCell ref="E200:E202"/>
    <mergeCell ref="F200:F201"/>
    <mergeCell ref="H201:J201"/>
    <mergeCell ref="H191:K191"/>
    <mergeCell ref="B203:D203"/>
    <mergeCell ref="B210:L210"/>
    <mergeCell ref="B212:L212"/>
    <mergeCell ref="C214:D214"/>
    <mergeCell ref="F214:I214"/>
    <mergeCell ref="B211:L211"/>
    <mergeCell ref="B204:D204"/>
    <mergeCell ref="B213:L213"/>
    <mergeCell ref="J214:L214"/>
    <mergeCell ref="B215:L215"/>
    <mergeCell ref="B216:L216"/>
    <mergeCell ref="A219:K219"/>
    <mergeCell ref="K221:K222"/>
    <mergeCell ref="A220:A222"/>
    <mergeCell ref="B220:E220"/>
    <mergeCell ref="F220:F222"/>
    <mergeCell ref="H220:K220"/>
    <mergeCell ref="L220:L222"/>
    <mergeCell ref="E221:E222"/>
    <mergeCell ref="H221:H222"/>
    <mergeCell ref="I221:J221"/>
    <mergeCell ref="C221:D221"/>
    <mergeCell ref="G220:G222"/>
    <mergeCell ref="B234:D234"/>
    <mergeCell ref="B238:L238"/>
    <mergeCell ref="H230:J230"/>
    <mergeCell ref="B229:D231"/>
    <mergeCell ref="E229:E231"/>
    <mergeCell ref="B233:D233"/>
    <mergeCell ref="A228:K228"/>
    <mergeCell ref="A229:A231"/>
    <mergeCell ref="H248:K248"/>
    <mergeCell ref="J242:L242"/>
    <mergeCell ref="B244:L244"/>
    <mergeCell ref="B232:D232"/>
    <mergeCell ref="F229:F230"/>
    <mergeCell ref="G229:J229"/>
    <mergeCell ref="A248:A250"/>
    <mergeCell ref="B239:L239"/>
    <mergeCell ref="B240:L240"/>
    <mergeCell ref="B260:D260"/>
    <mergeCell ref="F248:F250"/>
    <mergeCell ref="C242:D242"/>
    <mergeCell ref="F242:I242"/>
    <mergeCell ref="G248:G250"/>
    <mergeCell ref="B243:L243"/>
    <mergeCell ref="A247:K247"/>
    <mergeCell ref="B241:L241"/>
    <mergeCell ref="G257:J257"/>
    <mergeCell ref="H258:J258"/>
    <mergeCell ref="A256:K256"/>
    <mergeCell ref="A257:A259"/>
    <mergeCell ref="C249:D249"/>
    <mergeCell ref="B248:E248"/>
    <mergeCell ref="E257:E259"/>
    <mergeCell ref="B271:L271"/>
    <mergeCell ref="A274:K274"/>
    <mergeCell ref="J269:L269"/>
    <mergeCell ref="B257:D259"/>
    <mergeCell ref="L248:L250"/>
    <mergeCell ref="E249:E250"/>
    <mergeCell ref="H249:H250"/>
    <mergeCell ref="I249:J249"/>
    <mergeCell ref="K249:K250"/>
    <mergeCell ref="F257:F258"/>
    <mergeCell ref="C269:D269"/>
    <mergeCell ref="F269:I269"/>
    <mergeCell ref="B261:D261"/>
    <mergeCell ref="B267:L267"/>
    <mergeCell ref="B268:L268"/>
    <mergeCell ref="B265:L265"/>
    <mergeCell ref="B266:L266"/>
    <mergeCell ref="A275:A277"/>
    <mergeCell ref="B275:E275"/>
    <mergeCell ref="F275:F277"/>
    <mergeCell ref="K276:K277"/>
    <mergeCell ref="H276:H277"/>
    <mergeCell ref="I276:J276"/>
    <mergeCell ref="E276:E277"/>
    <mergeCell ref="G275:G277"/>
    <mergeCell ref="C276:D276"/>
    <mergeCell ref="H275:K275"/>
    <mergeCell ref="B270:L270"/>
    <mergeCell ref="F297:I297"/>
    <mergeCell ref="F284:F285"/>
    <mergeCell ref="H285:J285"/>
    <mergeCell ref="B288:D288"/>
    <mergeCell ref="L275:L277"/>
    <mergeCell ref="A283:K283"/>
    <mergeCell ref="C297:D297"/>
    <mergeCell ref="B296:L296"/>
    <mergeCell ref="J297:L297"/>
    <mergeCell ref="F303:F305"/>
    <mergeCell ref="B405:L405"/>
    <mergeCell ref="B404:L404"/>
    <mergeCell ref="B299:L299"/>
    <mergeCell ref="A302:K302"/>
    <mergeCell ref="H304:H305"/>
    <mergeCell ref="I304:J304"/>
    <mergeCell ref="G303:G305"/>
    <mergeCell ref="E304:E305"/>
    <mergeCell ref="B303:E303"/>
    <mergeCell ref="G284:J284"/>
    <mergeCell ref="B406:L406"/>
    <mergeCell ref="H313:J313"/>
    <mergeCell ref="C304:D304"/>
    <mergeCell ref="K304:K305"/>
    <mergeCell ref="B295:L295"/>
    <mergeCell ref="B293:L293"/>
    <mergeCell ref="B294:L294"/>
    <mergeCell ref="B316:D316"/>
    <mergeCell ref="B317:D317"/>
    <mergeCell ref="A284:A286"/>
    <mergeCell ref="B284:D286"/>
    <mergeCell ref="E284:E286"/>
    <mergeCell ref="B287:D287"/>
    <mergeCell ref="B326:L326"/>
    <mergeCell ref="L303:L305"/>
    <mergeCell ref="A311:K311"/>
    <mergeCell ref="A303:A305"/>
    <mergeCell ref="B298:L298"/>
    <mergeCell ref="B289:D289"/>
    <mergeCell ref="H303:K303"/>
    <mergeCell ref="A312:A314"/>
    <mergeCell ref="B312:D314"/>
    <mergeCell ref="B403:L403"/>
    <mergeCell ref="B315:D315"/>
    <mergeCell ref="G312:J312"/>
    <mergeCell ref="E312:E314"/>
    <mergeCell ref="F312:F313"/>
    <mergeCell ref="B321:L321"/>
    <mergeCell ref="B322:L322"/>
    <mergeCell ref="B323:L323"/>
    <mergeCell ref="A422:A424"/>
    <mergeCell ref="B422:D424"/>
    <mergeCell ref="E422:E424"/>
    <mergeCell ref="J407:L407"/>
    <mergeCell ref="C407:D407"/>
    <mergeCell ref="B408:L408"/>
    <mergeCell ref="B409:L409"/>
    <mergeCell ref="L413:L415"/>
    <mergeCell ref="H414:H415"/>
    <mergeCell ref="F407:I407"/>
    <mergeCell ref="A448:A450"/>
    <mergeCell ref="B448:D450"/>
    <mergeCell ref="E448:E450"/>
    <mergeCell ref="A447:K447"/>
    <mergeCell ref="A412:K412"/>
    <mergeCell ref="A413:A415"/>
    <mergeCell ref="B413:E413"/>
    <mergeCell ref="F413:F415"/>
    <mergeCell ref="H423:J423"/>
    <mergeCell ref="A421:K421"/>
    <mergeCell ref="K414:K415"/>
    <mergeCell ref="E414:E415"/>
    <mergeCell ref="C414:D414"/>
    <mergeCell ref="F422:F423"/>
    <mergeCell ref="G422:J422"/>
    <mergeCell ref="I414:J414"/>
    <mergeCell ref="G413:G415"/>
    <mergeCell ref="H413:K413"/>
    <mergeCell ref="B425:D425"/>
    <mergeCell ref="B428:L428"/>
    <mergeCell ref="B429:L429"/>
    <mergeCell ref="B451:D451"/>
    <mergeCell ref="G448:J448"/>
    <mergeCell ref="J432:L432"/>
    <mergeCell ref="C439:D439"/>
    <mergeCell ref="H449:J449"/>
    <mergeCell ref="B430:L430"/>
    <mergeCell ref="C432:D432"/>
    <mergeCell ref="B431:L431"/>
    <mergeCell ref="B433:L433"/>
    <mergeCell ref="F432:I432"/>
    <mergeCell ref="I439:J439"/>
    <mergeCell ref="B434:L434"/>
    <mergeCell ref="A437:K437"/>
    <mergeCell ref="A438:A440"/>
    <mergeCell ref="L438:L440"/>
    <mergeCell ref="F438:F440"/>
    <mergeCell ref="H439:H440"/>
    <mergeCell ref="G438:G440"/>
    <mergeCell ref="K439:K440"/>
    <mergeCell ref="H438:K438"/>
    <mergeCell ref="B460:L460"/>
    <mergeCell ref="B438:E438"/>
    <mergeCell ref="E439:E440"/>
    <mergeCell ref="B454:D454"/>
    <mergeCell ref="B463:L463"/>
    <mergeCell ref="B453:D453"/>
    <mergeCell ref="F448:F449"/>
    <mergeCell ref="B462:L462"/>
    <mergeCell ref="F464:I464"/>
    <mergeCell ref="J464:L464"/>
    <mergeCell ref="B461:L461"/>
    <mergeCell ref="B452:D452"/>
    <mergeCell ref="C464:D464"/>
    <mergeCell ref="K471:K472"/>
    <mergeCell ref="B479:D481"/>
    <mergeCell ref="C471:D471"/>
    <mergeCell ref="B465:L465"/>
    <mergeCell ref="B466:L466"/>
    <mergeCell ref="A469:K469"/>
    <mergeCell ref="B483:D483"/>
    <mergeCell ref="E479:E481"/>
    <mergeCell ref="F479:F480"/>
    <mergeCell ref="H480:J480"/>
    <mergeCell ref="F470:F472"/>
    <mergeCell ref="G479:J479"/>
    <mergeCell ref="A478:K478"/>
    <mergeCell ref="A479:A481"/>
    <mergeCell ref="B470:E470"/>
    <mergeCell ref="I471:J471"/>
    <mergeCell ref="B488:L488"/>
    <mergeCell ref="B484:D484"/>
    <mergeCell ref="E471:E472"/>
    <mergeCell ref="H471:H472"/>
    <mergeCell ref="A470:A472"/>
    <mergeCell ref="B490:L490"/>
    <mergeCell ref="G470:G472"/>
    <mergeCell ref="H470:K470"/>
    <mergeCell ref="B482:D482"/>
    <mergeCell ref="L470:L472"/>
    <mergeCell ref="H498:K498"/>
    <mergeCell ref="B507:D509"/>
    <mergeCell ref="E507:E509"/>
    <mergeCell ref="F507:F508"/>
    <mergeCell ref="G507:J507"/>
    <mergeCell ref="A506:K506"/>
    <mergeCell ref="A507:A509"/>
    <mergeCell ref="H508:J508"/>
    <mergeCell ref="C492:D492"/>
    <mergeCell ref="F492:I492"/>
    <mergeCell ref="J492:L492"/>
    <mergeCell ref="B491:L491"/>
    <mergeCell ref="B489:L489"/>
    <mergeCell ref="A497:K497"/>
    <mergeCell ref="B493:L493"/>
    <mergeCell ref="B494:L494"/>
    <mergeCell ref="L498:L500"/>
    <mergeCell ref="C499:D499"/>
    <mergeCell ref="A498:A500"/>
    <mergeCell ref="H499:H500"/>
    <mergeCell ref="I499:J499"/>
    <mergeCell ref="K499:K500"/>
    <mergeCell ref="E499:E500"/>
    <mergeCell ref="F498:F500"/>
    <mergeCell ref="G498:G500"/>
    <mergeCell ref="B498:E498"/>
    <mergeCell ref="B515:L515"/>
    <mergeCell ref="B514:L514"/>
    <mergeCell ref="B510:D510"/>
    <mergeCell ref="B517:L517"/>
    <mergeCell ref="B516:L516"/>
    <mergeCell ref="B536:D536"/>
    <mergeCell ref="H525:H526"/>
    <mergeCell ref="F533:F534"/>
    <mergeCell ref="C525:D525"/>
    <mergeCell ref="G533:J533"/>
    <mergeCell ref="B538:D538"/>
    <mergeCell ref="E525:E526"/>
    <mergeCell ref="B520:L520"/>
    <mergeCell ref="L524:L526"/>
    <mergeCell ref="B524:E524"/>
    <mergeCell ref="B537:D537"/>
    <mergeCell ref="A523:K523"/>
    <mergeCell ref="K525:K526"/>
    <mergeCell ref="A532:K532"/>
    <mergeCell ref="E533:E535"/>
    <mergeCell ref="B539:D539"/>
    <mergeCell ref="C518:D518"/>
    <mergeCell ref="F518:I518"/>
    <mergeCell ref="I525:J525"/>
    <mergeCell ref="F524:F526"/>
    <mergeCell ref="G524:G526"/>
    <mergeCell ref="H524:K524"/>
    <mergeCell ref="B533:D535"/>
    <mergeCell ref="B519:L519"/>
    <mergeCell ref="J518:L518"/>
    <mergeCell ref="H534:J534"/>
    <mergeCell ref="A533:A535"/>
    <mergeCell ref="A524:A526"/>
    <mergeCell ref="B543:L543"/>
    <mergeCell ref="J547:L547"/>
    <mergeCell ref="B553:E553"/>
    <mergeCell ref="F553:F555"/>
    <mergeCell ref="G553:G555"/>
    <mergeCell ref="L553:L555"/>
    <mergeCell ref="K554:K555"/>
    <mergeCell ref="H554:H555"/>
    <mergeCell ref="I554:J554"/>
    <mergeCell ref="A552:K552"/>
    <mergeCell ref="B544:L544"/>
    <mergeCell ref="B545:L545"/>
    <mergeCell ref="B546:L546"/>
    <mergeCell ref="F547:I547"/>
    <mergeCell ref="G562:J562"/>
    <mergeCell ref="H563:J563"/>
    <mergeCell ref="B562:D564"/>
    <mergeCell ref="B548:L548"/>
    <mergeCell ref="B549:L549"/>
    <mergeCell ref="C547:D547"/>
    <mergeCell ref="H553:K553"/>
    <mergeCell ref="A561:K561"/>
    <mergeCell ref="A562:A564"/>
    <mergeCell ref="A553:A555"/>
    <mergeCell ref="E562:E564"/>
    <mergeCell ref="C554:D554"/>
    <mergeCell ref="E554:E555"/>
    <mergeCell ref="F562:F563"/>
    <mergeCell ref="A579:K579"/>
    <mergeCell ref="B599:L599"/>
    <mergeCell ref="A589:A591"/>
    <mergeCell ref="E589:E591"/>
    <mergeCell ref="H590:J590"/>
    <mergeCell ref="F589:F590"/>
    <mergeCell ref="B565:D565"/>
    <mergeCell ref="B566:D566"/>
    <mergeCell ref="B571:L571"/>
    <mergeCell ref="B572:L572"/>
    <mergeCell ref="B576:L576"/>
    <mergeCell ref="F574:I574"/>
    <mergeCell ref="B575:L575"/>
    <mergeCell ref="B573:L573"/>
    <mergeCell ref="C574:D574"/>
    <mergeCell ref="B570:L570"/>
    <mergeCell ref="G589:J589"/>
    <mergeCell ref="B592:D592"/>
    <mergeCell ref="B589:D591"/>
    <mergeCell ref="L580:L582"/>
    <mergeCell ref="F580:F582"/>
    <mergeCell ref="G580:G582"/>
    <mergeCell ref="A580:A582"/>
    <mergeCell ref="B580:E580"/>
    <mergeCell ref="C581:D581"/>
    <mergeCell ref="A588:K588"/>
    <mergeCell ref="H581:H582"/>
    <mergeCell ref="E581:E582"/>
    <mergeCell ref="I581:J581"/>
    <mergeCell ref="H580:K580"/>
    <mergeCell ref="B596:L596"/>
    <mergeCell ref="K581:K582"/>
    <mergeCell ref="B619:D619"/>
    <mergeCell ref="G615:J615"/>
    <mergeCell ref="H616:J616"/>
    <mergeCell ref="B618:D618"/>
    <mergeCell ref="A614:K614"/>
    <mergeCell ref="J600:L600"/>
    <mergeCell ref="A606:A608"/>
    <mergeCell ref="C607:D607"/>
    <mergeCell ref="H607:H608"/>
    <mergeCell ref="I607:J607"/>
    <mergeCell ref="B602:L602"/>
    <mergeCell ref="A605:K605"/>
    <mergeCell ref="F606:F608"/>
    <mergeCell ref="E607:E608"/>
    <mergeCell ref="B606:E606"/>
    <mergeCell ref="A68:K68"/>
    <mergeCell ref="J574:L574"/>
    <mergeCell ref="L606:L608"/>
    <mergeCell ref="B597:L597"/>
    <mergeCell ref="C600:D600"/>
    <mergeCell ref="B598:L598"/>
    <mergeCell ref="F600:I600"/>
    <mergeCell ref="H606:K606"/>
    <mergeCell ref="B72:D72"/>
    <mergeCell ref="B73:D73"/>
    <mergeCell ref="B3:L3"/>
    <mergeCell ref="B4:L4"/>
    <mergeCell ref="B5:L5"/>
    <mergeCell ref="B6:L6"/>
    <mergeCell ref="L13:L15"/>
    <mergeCell ref="A13:A15"/>
    <mergeCell ref="B13:E13"/>
    <mergeCell ref="B8:L8"/>
    <mergeCell ref="H14:H15"/>
    <mergeCell ref="A12:K12"/>
    <mergeCell ref="C7:D7"/>
    <mergeCell ref="F7:I7"/>
    <mergeCell ref="J7:L7"/>
    <mergeCell ref="B9:L9"/>
    <mergeCell ref="C14:D14"/>
    <mergeCell ref="I14:J14"/>
    <mergeCell ref="K14:K15"/>
    <mergeCell ref="F13:F15"/>
    <mergeCell ref="H13:K13"/>
    <mergeCell ref="G13:G15"/>
    <mergeCell ref="E14:E15"/>
    <mergeCell ref="A615:A617"/>
    <mergeCell ref="B615:D617"/>
    <mergeCell ref="E615:E617"/>
    <mergeCell ref="F615:F616"/>
    <mergeCell ref="B601:L601"/>
    <mergeCell ref="K607:K608"/>
    <mergeCell ref="G606:G608"/>
    <mergeCell ref="B25:D25"/>
    <mergeCell ref="B26:D26"/>
    <mergeCell ref="E31:E33"/>
    <mergeCell ref="F31:F32"/>
    <mergeCell ref="G41:J41"/>
    <mergeCell ref="A41:A43"/>
    <mergeCell ref="H32:J32"/>
    <mergeCell ref="B34:D34"/>
    <mergeCell ref="A21:K21"/>
    <mergeCell ref="E22:E24"/>
    <mergeCell ref="F22:F23"/>
    <mergeCell ref="A22:A24"/>
    <mergeCell ref="B22:D24"/>
    <mergeCell ref="G22:J22"/>
    <mergeCell ref="H23:J23"/>
    <mergeCell ref="B27:D27"/>
    <mergeCell ref="B41:D43"/>
    <mergeCell ref="E41:E43"/>
    <mergeCell ref="A49:K49"/>
    <mergeCell ref="B35:D35"/>
    <mergeCell ref="A40:K40"/>
    <mergeCell ref="B36:D36"/>
    <mergeCell ref="A31:A33"/>
    <mergeCell ref="B45:D45"/>
    <mergeCell ref="H42:J42"/>
    <mergeCell ref="A30:K30"/>
    <mergeCell ref="G50:J50"/>
    <mergeCell ref="H51:J51"/>
    <mergeCell ref="B55:D55"/>
    <mergeCell ref="G31:J31"/>
    <mergeCell ref="A50:A52"/>
    <mergeCell ref="B50:D52"/>
    <mergeCell ref="B31:D33"/>
    <mergeCell ref="F50:F51"/>
    <mergeCell ref="B54:D54"/>
    <mergeCell ref="E50:E52"/>
    <mergeCell ref="F41:F42"/>
    <mergeCell ref="B46:D46"/>
    <mergeCell ref="F59:F60"/>
    <mergeCell ref="B62:D62"/>
    <mergeCell ref="A58:K58"/>
    <mergeCell ref="B53:D53"/>
    <mergeCell ref="B44:D44"/>
    <mergeCell ref="G59:J59"/>
    <mergeCell ref="A69:A71"/>
    <mergeCell ref="B69:D71"/>
    <mergeCell ref="E69:E71"/>
    <mergeCell ref="F69:F70"/>
    <mergeCell ref="A59:A61"/>
    <mergeCell ref="H60:J60"/>
    <mergeCell ref="B59:D61"/>
    <mergeCell ref="E59:E61"/>
    <mergeCell ref="B64:D64"/>
    <mergeCell ref="B63:D63"/>
    <mergeCell ref="B74:D74"/>
    <mergeCell ref="B83:L83"/>
    <mergeCell ref="J81:L81"/>
    <mergeCell ref="G69:J69"/>
    <mergeCell ref="H70:J70"/>
    <mergeCell ref="B77:L77"/>
    <mergeCell ref="B82:L82"/>
    <mergeCell ref="B87:E87"/>
    <mergeCell ref="F87:F89"/>
    <mergeCell ref="I88:J88"/>
    <mergeCell ref="K88:K89"/>
    <mergeCell ref="G87:G89"/>
    <mergeCell ref="H87:K87"/>
    <mergeCell ref="E88:E89"/>
    <mergeCell ref="B100:D100"/>
    <mergeCell ref="B101:D101"/>
    <mergeCell ref="H97:J97"/>
    <mergeCell ref="B99:D99"/>
    <mergeCell ref="B78:L78"/>
    <mergeCell ref="B79:L79"/>
    <mergeCell ref="B80:L80"/>
    <mergeCell ref="C81:D81"/>
    <mergeCell ref="F81:I81"/>
    <mergeCell ref="A86:K86"/>
    <mergeCell ref="A96:A98"/>
    <mergeCell ref="B96:D98"/>
    <mergeCell ref="E96:E98"/>
    <mergeCell ref="F96:F97"/>
    <mergeCell ref="G96:J96"/>
    <mergeCell ref="L87:L89"/>
    <mergeCell ref="C88:D88"/>
    <mergeCell ref="H88:H89"/>
    <mergeCell ref="A95:K95"/>
    <mergeCell ref="A87:A89"/>
  </mergeCells>
  <printOptions/>
  <pageMargins left="0.7086614173228347" right="0.196850393700787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3"/>
  <sheetViews>
    <sheetView zoomScalePageLayoutView="0" workbookViewId="0" topLeftCell="A1">
      <pane ySplit="3615" topLeftCell="A1" activePane="bottomLeft" state="split"/>
      <selection pane="topLeft" activeCell="C29" sqref="C29"/>
      <selection pane="bottomLeft" activeCell="C29" sqref="C29"/>
    </sheetView>
  </sheetViews>
  <sheetFormatPr defaultColWidth="9.140625" defaultRowHeight="12.75"/>
  <cols>
    <col min="1" max="1" width="6.57421875" style="239" customWidth="1"/>
    <col min="2" max="2" width="7.421875" style="239" customWidth="1"/>
    <col min="3" max="3" width="60.00390625" style="239" customWidth="1"/>
    <col min="4" max="4" width="47.28125" style="239" customWidth="1"/>
    <col min="5" max="5" width="13.57421875" style="296" customWidth="1"/>
    <col min="6" max="6" width="13.140625" style="279" bestFit="1" customWidth="1"/>
    <col min="7" max="7" width="11.8515625" style="279" bestFit="1" customWidth="1"/>
    <col min="8" max="11" width="9.140625" style="279" customWidth="1"/>
    <col min="12" max="12" width="10.140625" style="279" bestFit="1" customWidth="1"/>
    <col min="13" max="13" width="9.140625" style="279" customWidth="1"/>
    <col min="14" max="15" width="10.140625" style="279" bestFit="1" customWidth="1"/>
    <col min="16" max="28" width="9.140625" style="279" customWidth="1"/>
    <col min="29" max="29" width="10.140625" style="279" bestFit="1" customWidth="1"/>
    <col min="30" max="32" width="9.140625" style="279" customWidth="1"/>
    <col min="33" max="33" width="13.28125" style="279" customWidth="1"/>
    <col min="34" max="16384" width="9.140625" style="239" customWidth="1"/>
  </cols>
  <sheetData>
    <row r="1" spans="3:33" ht="12.75">
      <c r="C1" s="240"/>
      <c r="D1" s="240"/>
      <c r="E1" s="256"/>
      <c r="F1" s="257"/>
      <c r="G1" s="257"/>
      <c r="H1" s="257"/>
      <c r="I1" s="257"/>
      <c r="J1" s="257"/>
      <c r="K1" s="257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9"/>
      <c r="AB1" s="259"/>
      <c r="AC1" s="259"/>
      <c r="AD1" s="259"/>
      <c r="AE1" s="259"/>
      <c r="AF1" s="259"/>
      <c r="AG1" s="260" t="s">
        <v>273</v>
      </c>
    </row>
    <row r="2" spans="1:33" ht="15">
      <c r="A2" s="261" t="s">
        <v>334</v>
      </c>
      <c r="C2" s="241"/>
      <c r="D2" s="241"/>
      <c r="E2" s="262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59"/>
      <c r="AC2" s="259"/>
      <c r="AD2" s="259"/>
      <c r="AE2" s="259"/>
      <c r="AF2" s="259"/>
      <c r="AG2" s="264"/>
    </row>
    <row r="3" spans="1:33" ht="14.25">
      <c r="A3" s="18" t="s">
        <v>274</v>
      </c>
      <c r="E3" s="26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ht="12.75">
      <c r="A4" s="24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266"/>
      <c r="AC4" s="266"/>
      <c r="AD4" s="266"/>
      <c r="AE4" s="266"/>
      <c r="AF4" s="266"/>
      <c r="AG4" s="267"/>
    </row>
    <row r="5" spans="1:33" ht="100.5">
      <c r="A5" s="213" t="s">
        <v>62</v>
      </c>
      <c r="B5" s="213" t="s">
        <v>63</v>
      </c>
      <c r="C5" s="243" t="s">
        <v>275</v>
      </c>
      <c r="D5" s="244" t="s">
        <v>276</v>
      </c>
      <c r="E5" s="268" t="s">
        <v>277</v>
      </c>
      <c r="F5" s="245" t="s">
        <v>278</v>
      </c>
      <c r="G5" s="245" t="s">
        <v>279</v>
      </c>
      <c r="H5" s="245" t="s">
        <v>280</v>
      </c>
      <c r="I5" s="245" t="s">
        <v>281</v>
      </c>
      <c r="J5" s="245" t="s">
        <v>282</v>
      </c>
      <c r="K5" s="245" t="s">
        <v>283</v>
      </c>
      <c r="L5" s="245" t="s">
        <v>284</v>
      </c>
      <c r="M5" s="245" t="s">
        <v>285</v>
      </c>
      <c r="N5" s="245" t="s">
        <v>286</v>
      </c>
      <c r="O5" s="245" t="s">
        <v>287</v>
      </c>
      <c r="P5" s="245" t="s">
        <v>288</v>
      </c>
      <c r="Q5" s="245" t="s">
        <v>289</v>
      </c>
      <c r="R5" s="245" t="s">
        <v>290</v>
      </c>
      <c r="S5" s="245" t="s">
        <v>291</v>
      </c>
      <c r="T5" s="245" t="s">
        <v>292</v>
      </c>
      <c r="U5" s="245" t="s">
        <v>293</v>
      </c>
      <c r="V5" s="245" t="s">
        <v>294</v>
      </c>
      <c r="W5" s="245" t="s">
        <v>295</v>
      </c>
      <c r="X5" s="245" t="s">
        <v>296</v>
      </c>
      <c r="Y5" s="245" t="s">
        <v>297</v>
      </c>
      <c r="Z5" s="245" t="s">
        <v>298</v>
      </c>
      <c r="AA5" s="245" t="s">
        <v>299</v>
      </c>
      <c r="AB5" s="245" t="s">
        <v>300</v>
      </c>
      <c r="AC5" s="245" t="s">
        <v>301</v>
      </c>
      <c r="AD5" s="245" t="s">
        <v>302</v>
      </c>
      <c r="AE5" s="245" t="s">
        <v>303</v>
      </c>
      <c r="AF5" s="245" t="s">
        <v>304</v>
      </c>
      <c r="AG5" s="244" t="s">
        <v>124</v>
      </c>
    </row>
    <row r="6" spans="1:33" ht="12.75">
      <c r="A6" s="269">
        <v>1</v>
      </c>
      <c r="B6" s="270"/>
      <c r="C6" s="271"/>
      <c r="D6" s="246"/>
      <c r="E6" s="272"/>
      <c r="F6" s="273">
        <v>2111</v>
      </c>
      <c r="G6" s="273">
        <v>2121</v>
      </c>
      <c r="H6" s="274">
        <v>2211</v>
      </c>
      <c r="I6" s="273">
        <v>2212</v>
      </c>
      <c r="J6" s="273">
        <v>2213</v>
      </c>
      <c r="K6" s="273">
        <v>2214</v>
      </c>
      <c r="L6" s="273">
        <v>2215</v>
      </c>
      <c r="M6" s="273">
        <v>2217</v>
      </c>
      <c r="N6" s="273">
        <v>2218</v>
      </c>
      <c r="O6" s="273">
        <v>2221</v>
      </c>
      <c r="P6" s="273">
        <v>2222</v>
      </c>
      <c r="Q6" s="273">
        <v>2224</v>
      </c>
      <c r="R6" s="273">
        <v>2223</v>
      </c>
      <c r="S6" s="273">
        <v>2225</v>
      </c>
      <c r="T6" s="273">
        <v>2231</v>
      </c>
      <c r="U6" s="273">
        <v>2232</v>
      </c>
      <c r="V6" s="273">
        <v>2233</v>
      </c>
      <c r="W6" s="273">
        <v>2234</v>
      </c>
      <c r="X6" s="273">
        <v>2235</v>
      </c>
      <c r="Y6" s="273">
        <v>2511</v>
      </c>
      <c r="Z6" s="273">
        <v>2512</v>
      </c>
      <c r="AA6" s="273">
        <v>2821</v>
      </c>
      <c r="AB6" s="273">
        <v>3111</v>
      </c>
      <c r="AC6" s="273">
        <v>3112</v>
      </c>
      <c r="AD6" s="273">
        <v>3113</v>
      </c>
      <c r="AE6" s="273">
        <v>3214</v>
      </c>
      <c r="AF6" s="273">
        <v>3215</v>
      </c>
      <c r="AG6" s="275"/>
    </row>
    <row r="7" spans="1:33" s="395" customFormat="1" ht="39.75" customHeight="1" thickBot="1">
      <c r="A7" s="276">
        <v>1</v>
      </c>
      <c r="B7" s="277">
        <v>1</v>
      </c>
      <c r="C7" s="278" t="s">
        <v>305</v>
      </c>
      <c r="D7" s="247" t="s">
        <v>306</v>
      </c>
      <c r="E7" s="408">
        <f>E8+E9+E10+E11+E12+E13+E15+E17</f>
        <v>57</v>
      </c>
      <c r="F7" s="376"/>
      <c r="G7" s="376"/>
      <c r="H7" s="409"/>
      <c r="I7" s="376"/>
      <c r="J7" s="376"/>
      <c r="K7" s="376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377"/>
      <c r="AB7" s="377"/>
      <c r="AC7" s="411"/>
      <c r="AD7" s="377"/>
      <c r="AE7" s="377"/>
      <c r="AF7" s="377"/>
      <c r="AG7" s="394"/>
    </row>
    <row r="8" spans="1:35" s="416" customFormat="1" ht="19.5" customHeight="1" thickBot="1">
      <c r="A8" s="280">
        <v>1</v>
      </c>
      <c r="B8" s="281">
        <v>2</v>
      </c>
      <c r="C8" s="282" t="s">
        <v>150</v>
      </c>
      <c r="D8" s="412"/>
      <c r="E8" s="413">
        <v>7</v>
      </c>
      <c r="F8" s="52">
        <f>5807.8+2062.4</f>
        <v>7870.200000000001</v>
      </c>
      <c r="G8" s="52">
        <f>998.4+359.2</f>
        <v>1357.6</v>
      </c>
      <c r="H8" s="393">
        <f>333.4+209.9</f>
        <v>543.3</v>
      </c>
      <c r="I8" s="414">
        <v>400</v>
      </c>
      <c r="J8" s="415"/>
      <c r="K8" s="414">
        <v>686.4</v>
      </c>
      <c r="L8" s="393">
        <v>334.65600000000006</v>
      </c>
      <c r="M8" s="415"/>
      <c r="N8" s="415"/>
      <c r="O8" s="415"/>
      <c r="P8" s="414">
        <v>300</v>
      </c>
      <c r="Q8" s="415"/>
      <c r="R8" s="415"/>
      <c r="S8" s="393">
        <f>500-0.3</f>
        <v>499.7</v>
      </c>
      <c r="T8" s="414"/>
      <c r="U8" s="414"/>
      <c r="V8" s="414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394">
        <f>SUM(F8:AF8)</f>
        <v>11991.856000000002</v>
      </c>
      <c r="AI8" s="417"/>
    </row>
    <row r="9" spans="1:35" s="395" customFormat="1" ht="48.75" customHeight="1" thickBot="1">
      <c r="A9" s="276">
        <v>1</v>
      </c>
      <c r="B9" s="283">
        <v>3</v>
      </c>
      <c r="C9" s="284" t="s">
        <v>151</v>
      </c>
      <c r="D9" s="248" t="s">
        <v>326</v>
      </c>
      <c r="E9" s="392">
        <v>18</v>
      </c>
      <c r="F9" s="52">
        <v>2921.8</v>
      </c>
      <c r="G9" s="52">
        <v>504</v>
      </c>
      <c r="H9" s="393">
        <v>150</v>
      </c>
      <c r="I9" s="393">
        <v>200</v>
      </c>
      <c r="J9" s="393"/>
      <c r="K9" s="393"/>
      <c r="L9" s="393">
        <v>160</v>
      </c>
      <c r="M9" s="393"/>
      <c r="N9" s="393"/>
      <c r="O9" s="393"/>
      <c r="P9" s="393">
        <v>100</v>
      </c>
      <c r="Q9" s="393"/>
      <c r="R9" s="393"/>
      <c r="S9" s="393"/>
      <c r="T9" s="393">
        <v>100</v>
      </c>
      <c r="U9" s="393">
        <v>100</v>
      </c>
      <c r="V9" s="393">
        <v>78.7</v>
      </c>
      <c r="W9" s="393">
        <v>0</v>
      </c>
      <c r="X9" s="393">
        <v>0</v>
      </c>
      <c r="Y9" s="393">
        <v>0</v>
      </c>
      <c r="Z9" s="393">
        <v>0</v>
      </c>
      <c r="AA9" s="393">
        <v>0</v>
      </c>
      <c r="AB9" s="393">
        <v>0</v>
      </c>
      <c r="AC9" s="393">
        <v>0</v>
      </c>
      <c r="AD9" s="393">
        <v>0</v>
      </c>
      <c r="AE9" s="393">
        <v>0</v>
      </c>
      <c r="AF9" s="393">
        <v>0</v>
      </c>
      <c r="AG9" s="394">
        <f aca="true" t="shared" si="0" ref="AG9:AG16">SUM(F9:AF9)</f>
        <v>4314.5</v>
      </c>
      <c r="AI9" s="418"/>
    </row>
    <row r="10" spans="1:35" s="395" customFormat="1" ht="39" customHeight="1" thickBot="1">
      <c r="A10" s="276">
        <v>1</v>
      </c>
      <c r="B10" s="283">
        <v>4</v>
      </c>
      <c r="C10" s="284" t="s">
        <v>153</v>
      </c>
      <c r="D10" s="248" t="s">
        <v>308</v>
      </c>
      <c r="E10" s="392">
        <v>7</v>
      </c>
      <c r="F10" s="52">
        <v>1229.2</v>
      </c>
      <c r="G10" s="52">
        <v>212</v>
      </c>
      <c r="H10" s="393">
        <v>160</v>
      </c>
      <c r="I10" s="393">
        <v>210</v>
      </c>
      <c r="J10" s="393"/>
      <c r="K10" s="393"/>
      <c r="L10" s="393">
        <v>170</v>
      </c>
      <c r="M10" s="393"/>
      <c r="N10" s="393"/>
      <c r="O10" s="393"/>
      <c r="P10" s="393">
        <v>110</v>
      </c>
      <c r="Q10" s="393"/>
      <c r="R10" s="393"/>
      <c r="S10" s="393"/>
      <c r="T10" s="393">
        <v>150</v>
      </c>
      <c r="U10" s="393">
        <v>88.8</v>
      </c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4">
        <f t="shared" si="0"/>
        <v>2330</v>
      </c>
      <c r="AI10" s="418"/>
    </row>
    <row r="11" spans="1:35" s="395" customFormat="1" ht="39" customHeight="1" thickBot="1">
      <c r="A11" s="276">
        <v>1</v>
      </c>
      <c r="B11" s="283">
        <v>5</v>
      </c>
      <c r="C11" s="284" t="s">
        <v>155</v>
      </c>
      <c r="D11" s="248" t="s">
        <v>309</v>
      </c>
      <c r="E11" s="392">
        <v>3</v>
      </c>
      <c r="F11" s="52">
        <v>728</v>
      </c>
      <c r="G11" s="52">
        <f>F11*17.25%</f>
        <v>125.57999999999998</v>
      </c>
      <c r="H11" s="393">
        <v>100</v>
      </c>
      <c r="I11" s="393">
        <v>200</v>
      </c>
      <c r="J11" s="393"/>
      <c r="K11" s="393"/>
      <c r="L11" s="393">
        <v>180</v>
      </c>
      <c r="M11" s="393"/>
      <c r="N11" s="393"/>
      <c r="O11" s="393"/>
      <c r="P11" s="393">
        <v>95</v>
      </c>
      <c r="Q11" s="393"/>
      <c r="R11" s="393"/>
      <c r="S11" s="393"/>
      <c r="T11" s="393">
        <v>150</v>
      </c>
      <c r="U11" s="393">
        <v>100</v>
      </c>
      <c r="V11" s="393">
        <v>63.8</v>
      </c>
      <c r="W11" s="393">
        <v>0</v>
      </c>
      <c r="X11" s="393">
        <v>0</v>
      </c>
      <c r="Y11" s="393">
        <v>0</v>
      </c>
      <c r="Z11" s="393">
        <v>0</v>
      </c>
      <c r="AA11" s="393">
        <v>0</v>
      </c>
      <c r="AB11" s="393">
        <v>0</v>
      </c>
      <c r="AC11" s="393">
        <v>0</v>
      </c>
      <c r="AD11" s="393">
        <v>0</v>
      </c>
      <c r="AE11" s="393">
        <v>0</v>
      </c>
      <c r="AF11" s="393">
        <v>0</v>
      </c>
      <c r="AG11" s="394">
        <f t="shared" si="0"/>
        <v>1742.3799999999999</v>
      </c>
      <c r="AI11" s="418"/>
    </row>
    <row r="12" spans="1:35" s="395" customFormat="1" ht="39" customHeight="1" thickBot="1">
      <c r="A12" s="276">
        <v>1</v>
      </c>
      <c r="B12" s="285">
        <v>6</v>
      </c>
      <c r="C12" s="284" t="s">
        <v>157</v>
      </c>
      <c r="D12" s="248" t="s">
        <v>310</v>
      </c>
      <c r="E12" s="392">
        <v>3</v>
      </c>
      <c r="F12" s="52">
        <v>833</v>
      </c>
      <c r="G12" s="52">
        <f>F12*17.25%</f>
        <v>143.6925</v>
      </c>
      <c r="H12" s="393">
        <v>60</v>
      </c>
      <c r="I12" s="414">
        <v>350</v>
      </c>
      <c r="J12" s="393"/>
      <c r="K12" s="393"/>
      <c r="L12" s="393">
        <v>200</v>
      </c>
      <c r="M12" s="393"/>
      <c r="N12" s="393"/>
      <c r="O12" s="393">
        <v>158.9</v>
      </c>
      <c r="P12" s="393">
        <v>120</v>
      </c>
      <c r="Q12" s="393"/>
      <c r="R12" s="393"/>
      <c r="S12" s="393"/>
      <c r="T12" s="414"/>
      <c r="U12" s="414"/>
      <c r="V12" s="414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4">
        <f t="shared" si="0"/>
        <v>1865.5925000000002</v>
      </c>
      <c r="AI12" s="418"/>
    </row>
    <row r="13" spans="1:35" s="395" customFormat="1" ht="39" customHeight="1" thickBot="1">
      <c r="A13" s="276">
        <v>1</v>
      </c>
      <c r="B13" s="285">
        <v>7</v>
      </c>
      <c r="C13" s="286" t="s">
        <v>311</v>
      </c>
      <c r="D13" s="419"/>
      <c r="E13" s="392">
        <v>11</v>
      </c>
      <c r="F13" s="52">
        <v>1196</v>
      </c>
      <c r="G13" s="52">
        <f>F13*17.25%</f>
        <v>206.30999999999997</v>
      </c>
      <c r="H13" s="393">
        <v>0</v>
      </c>
      <c r="I13" s="414"/>
      <c r="J13" s="393"/>
      <c r="K13" s="393">
        <v>300</v>
      </c>
      <c r="L13" s="393">
        <v>105.3</v>
      </c>
      <c r="M13" s="393"/>
      <c r="N13" s="393"/>
      <c r="O13" s="393">
        <v>108.6</v>
      </c>
      <c r="P13" s="393">
        <v>65</v>
      </c>
      <c r="Q13" s="393"/>
      <c r="R13" s="393"/>
      <c r="S13" s="393">
        <v>0.3</v>
      </c>
      <c r="T13" s="414">
        <v>50</v>
      </c>
      <c r="U13" s="414">
        <v>61.2</v>
      </c>
      <c r="V13" s="414">
        <v>57.5</v>
      </c>
      <c r="W13" s="393"/>
      <c r="X13" s="393"/>
      <c r="Y13" s="393"/>
      <c r="Z13" s="393"/>
      <c r="AA13" s="393"/>
      <c r="AB13" s="393"/>
      <c r="AC13" s="393">
        <v>141</v>
      </c>
      <c r="AD13" s="393"/>
      <c r="AE13" s="393"/>
      <c r="AF13" s="393"/>
      <c r="AG13" s="394">
        <f t="shared" si="0"/>
        <v>2291.2099999999996</v>
      </c>
      <c r="AI13" s="418"/>
    </row>
    <row r="14" spans="1:35" s="378" customFormat="1" ht="39" customHeight="1" thickBot="1">
      <c r="A14" s="372">
        <v>1</v>
      </c>
      <c r="B14" s="373">
        <v>8</v>
      </c>
      <c r="C14" s="391" t="s">
        <v>65</v>
      </c>
      <c r="D14" s="108" t="s">
        <v>68</v>
      </c>
      <c r="E14" s="375"/>
      <c r="F14" s="374">
        <v>140012</v>
      </c>
      <c r="G14" s="374">
        <v>23512.9</v>
      </c>
      <c r="H14" s="376">
        <v>2976.3</v>
      </c>
      <c r="I14" s="376">
        <v>2601.3</v>
      </c>
      <c r="J14" s="376">
        <v>143.6</v>
      </c>
      <c r="K14" s="376">
        <v>2530.5</v>
      </c>
      <c r="L14" s="376">
        <v>77206.9</v>
      </c>
      <c r="M14" s="376"/>
      <c r="N14" s="376"/>
      <c r="O14" s="376"/>
      <c r="P14" s="376">
        <v>6952.7</v>
      </c>
      <c r="Q14" s="376">
        <v>509.9</v>
      </c>
      <c r="R14" s="376">
        <v>0</v>
      </c>
      <c r="S14" s="376"/>
      <c r="T14" s="376">
        <v>135.7</v>
      </c>
      <c r="U14" s="376">
        <v>1960.6</v>
      </c>
      <c r="V14" s="376">
        <v>4453.4</v>
      </c>
      <c r="W14" s="376">
        <v>0</v>
      </c>
      <c r="X14" s="376">
        <v>0</v>
      </c>
      <c r="Y14" s="376">
        <v>0</v>
      </c>
      <c r="Z14" s="376">
        <v>0</v>
      </c>
      <c r="AA14" s="376">
        <v>0</v>
      </c>
      <c r="AB14" s="376">
        <v>1500</v>
      </c>
      <c r="AC14" s="377">
        <v>156663.1</v>
      </c>
      <c r="AD14" s="376"/>
      <c r="AE14" s="376"/>
      <c r="AF14" s="376"/>
      <c r="AG14" s="394">
        <f t="shared" si="0"/>
        <v>421158.9</v>
      </c>
      <c r="AI14" s="379"/>
    </row>
    <row r="15" spans="1:33" s="395" customFormat="1" ht="39" customHeight="1" thickBot="1">
      <c r="A15" s="276">
        <v>1</v>
      </c>
      <c r="B15" s="285">
        <v>9</v>
      </c>
      <c r="C15" s="287" t="s">
        <v>64</v>
      </c>
      <c r="D15" s="90" t="s">
        <v>67</v>
      </c>
      <c r="E15" s="392">
        <v>3</v>
      </c>
      <c r="F15" s="52">
        <v>560</v>
      </c>
      <c r="G15" s="52">
        <f>F15*17.25%</f>
        <v>96.6</v>
      </c>
      <c r="H15" s="393">
        <v>120</v>
      </c>
      <c r="I15" s="393">
        <v>210</v>
      </c>
      <c r="J15" s="393"/>
      <c r="K15" s="393"/>
      <c r="L15" s="393">
        <v>150</v>
      </c>
      <c r="M15" s="393"/>
      <c r="N15" s="393"/>
      <c r="O15" s="393"/>
      <c r="P15" s="393">
        <v>60</v>
      </c>
      <c r="Q15" s="393"/>
      <c r="R15" s="393"/>
      <c r="S15" s="393"/>
      <c r="T15" s="393"/>
      <c r="U15" s="414"/>
      <c r="V15" s="414"/>
      <c r="W15" s="393"/>
      <c r="X15" s="393"/>
      <c r="Y15" s="393"/>
      <c r="Z15" s="393"/>
      <c r="AA15" s="393"/>
      <c r="AB15" s="393"/>
      <c r="AC15" s="393">
        <v>348.9</v>
      </c>
      <c r="AD15" s="393"/>
      <c r="AE15" s="393"/>
      <c r="AF15" s="393"/>
      <c r="AG15" s="394">
        <f t="shared" si="0"/>
        <v>1545.5</v>
      </c>
    </row>
    <row r="16" spans="1:33" s="395" customFormat="1" ht="39" customHeight="1" thickBot="1">
      <c r="A16" s="276">
        <v>1</v>
      </c>
      <c r="B16" s="285">
        <v>10</v>
      </c>
      <c r="C16" s="255" t="s">
        <v>158</v>
      </c>
      <c r="D16" s="248" t="s">
        <v>312</v>
      </c>
      <c r="E16" s="392"/>
      <c r="F16" s="52">
        <v>618.8</v>
      </c>
      <c r="G16" s="52">
        <f>F16*17.25%</f>
        <v>106.74299999999998</v>
      </c>
      <c r="H16" s="393">
        <v>166.7</v>
      </c>
      <c r="I16" s="393">
        <v>90</v>
      </c>
      <c r="J16" s="393"/>
      <c r="K16" s="393"/>
      <c r="L16" s="393"/>
      <c r="M16" s="393"/>
      <c r="N16" s="393"/>
      <c r="O16" s="393">
        <v>132.5</v>
      </c>
      <c r="P16" s="393">
        <v>50</v>
      </c>
      <c r="Q16" s="393"/>
      <c r="R16" s="393"/>
      <c r="S16" s="393"/>
      <c r="T16" s="393">
        <v>50</v>
      </c>
      <c r="U16" s="393">
        <v>50</v>
      </c>
      <c r="V16" s="393">
        <v>100</v>
      </c>
      <c r="W16" s="393"/>
      <c r="X16" s="393"/>
      <c r="Y16" s="393"/>
      <c r="Z16" s="393"/>
      <c r="AA16" s="393"/>
      <c r="AB16" s="393"/>
      <c r="AC16" s="393">
        <v>250</v>
      </c>
      <c r="AD16" s="393"/>
      <c r="AE16" s="393"/>
      <c r="AF16" s="393"/>
      <c r="AG16" s="394">
        <f t="shared" si="0"/>
        <v>1614.743</v>
      </c>
    </row>
    <row r="17" spans="1:34" s="395" customFormat="1" ht="39" customHeight="1">
      <c r="A17" s="276">
        <v>1</v>
      </c>
      <c r="B17" s="285"/>
      <c r="C17" s="255" t="s">
        <v>41</v>
      </c>
      <c r="D17" s="420" t="s">
        <v>42</v>
      </c>
      <c r="E17" s="392">
        <v>5</v>
      </c>
      <c r="F17" s="52">
        <v>623</v>
      </c>
      <c r="G17" s="52">
        <v>107.6</v>
      </c>
      <c r="H17" s="393">
        <v>200</v>
      </c>
      <c r="I17" s="414">
        <v>240</v>
      </c>
      <c r="J17" s="393"/>
      <c r="K17" s="393"/>
      <c r="L17" s="393">
        <v>100</v>
      </c>
      <c r="M17" s="393"/>
      <c r="N17" s="393"/>
      <c r="O17" s="393">
        <v>100</v>
      </c>
      <c r="P17" s="393">
        <v>100</v>
      </c>
      <c r="Q17" s="393"/>
      <c r="R17" s="393"/>
      <c r="S17" s="393"/>
      <c r="T17" s="393"/>
      <c r="U17" s="414"/>
      <c r="V17" s="414"/>
      <c r="W17" s="393"/>
      <c r="X17" s="393"/>
      <c r="Y17" s="393"/>
      <c r="Z17" s="393"/>
      <c r="AA17" s="393"/>
      <c r="AB17" s="393"/>
      <c r="AC17" s="393">
        <v>149</v>
      </c>
      <c r="AD17" s="393"/>
      <c r="AE17" s="393"/>
      <c r="AF17" s="393"/>
      <c r="AG17" s="394">
        <f>SUM(F17:AF17)</f>
        <v>1619.6</v>
      </c>
      <c r="AH17" s="418"/>
    </row>
    <row r="18" spans="1:34" s="390" customFormat="1" ht="39" customHeight="1">
      <c r="A18" s="384"/>
      <c r="B18" s="385"/>
      <c r="C18" s="386"/>
      <c r="D18" s="387" t="s">
        <v>329</v>
      </c>
      <c r="E18" s="388"/>
      <c r="F18" s="389">
        <f>SUM(F8:F17)</f>
        <v>156592</v>
      </c>
      <c r="G18" s="389">
        <f aca="true" t="shared" si="1" ref="G18:AF18">SUM(G8:G17)</f>
        <v>26373.025499999996</v>
      </c>
      <c r="H18" s="389">
        <f>SUM(H8:H17)</f>
        <v>4476.3</v>
      </c>
      <c r="I18" s="389">
        <f t="shared" si="1"/>
        <v>4501.3</v>
      </c>
      <c r="J18" s="389">
        <f t="shared" si="1"/>
        <v>143.6</v>
      </c>
      <c r="K18" s="389">
        <f t="shared" si="1"/>
        <v>3516.9</v>
      </c>
      <c r="L18" s="389">
        <f t="shared" si="1"/>
        <v>78606.856</v>
      </c>
      <c r="M18" s="389">
        <f t="shared" si="1"/>
        <v>0</v>
      </c>
      <c r="N18" s="389">
        <f t="shared" si="1"/>
        <v>0</v>
      </c>
      <c r="O18" s="389">
        <f t="shared" si="1"/>
        <v>500</v>
      </c>
      <c r="P18" s="389">
        <f t="shared" si="1"/>
        <v>7952.7</v>
      </c>
      <c r="Q18" s="389">
        <f t="shared" si="1"/>
        <v>509.9</v>
      </c>
      <c r="R18" s="389">
        <f t="shared" si="1"/>
        <v>0</v>
      </c>
      <c r="S18" s="389">
        <f t="shared" si="1"/>
        <v>500</v>
      </c>
      <c r="T18" s="389">
        <f t="shared" si="1"/>
        <v>635.7</v>
      </c>
      <c r="U18" s="389">
        <f t="shared" si="1"/>
        <v>2360.6</v>
      </c>
      <c r="V18" s="389">
        <f t="shared" si="1"/>
        <v>4753.4</v>
      </c>
      <c r="W18" s="389">
        <f t="shared" si="1"/>
        <v>0</v>
      </c>
      <c r="X18" s="389">
        <f t="shared" si="1"/>
        <v>0</v>
      </c>
      <c r="Y18" s="389">
        <f t="shared" si="1"/>
        <v>0</v>
      </c>
      <c r="Z18" s="389">
        <f t="shared" si="1"/>
        <v>0</v>
      </c>
      <c r="AA18" s="389">
        <f t="shared" si="1"/>
        <v>0</v>
      </c>
      <c r="AB18" s="389">
        <f t="shared" si="1"/>
        <v>1500</v>
      </c>
      <c r="AC18" s="389">
        <f t="shared" si="1"/>
        <v>157552</v>
      </c>
      <c r="AD18" s="389">
        <f t="shared" si="1"/>
        <v>0</v>
      </c>
      <c r="AE18" s="389">
        <f t="shared" si="1"/>
        <v>0</v>
      </c>
      <c r="AF18" s="389">
        <f t="shared" si="1"/>
        <v>0</v>
      </c>
      <c r="AG18" s="389">
        <f>SUM(AG8:AG17)</f>
        <v>450474.28150000004</v>
      </c>
      <c r="AH18" s="390">
        <f>'[1]Приложение  4'!B10+'[1]Приложение  4'!E10</f>
        <v>197004.6</v>
      </c>
    </row>
    <row r="19" spans="1:33" s="395" customFormat="1" ht="39" customHeight="1" thickBot="1">
      <c r="A19" s="276">
        <v>2</v>
      </c>
      <c r="B19" s="285">
        <v>1</v>
      </c>
      <c r="C19" s="250" t="s">
        <v>313</v>
      </c>
      <c r="D19" s="251" t="s">
        <v>314</v>
      </c>
      <c r="E19" s="392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4"/>
    </row>
    <row r="20" spans="1:33" s="395" customFormat="1" ht="39" customHeight="1" thickBot="1">
      <c r="A20" s="276">
        <v>2</v>
      </c>
      <c r="B20" s="285">
        <v>2</v>
      </c>
      <c r="C20" s="254" t="s">
        <v>164</v>
      </c>
      <c r="D20" s="248" t="s">
        <v>314</v>
      </c>
      <c r="E20" s="392"/>
      <c r="F20" s="52">
        <v>174498.9</v>
      </c>
      <c r="G20" s="52">
        <v>30101.1</v>
      </c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4">
        <f>SUM(F20:AF20)</f>
        <v>204600</v>
      </c>
    </row>
    <row r="21" spans="1:33" s="395" customFormat="1" ht="39" customHeight="1">
      <c r="A21" s="276">
        <v>2</v>
      </c>
      <c r="B21" s="285">
        <v>3</v>
      </c>
      <c r="C21" s="254" t="s">
        <v>172</v>
      </c>
      <c r="D21" s="248" t="s">
        <v>314</v>
      </c>
      <c r="E21" s="392"/>
      <c r="F21" s="52">
        <f>1046905.2+318123.7</f>
        <v>1365028.9</v>
      </c>
      <c r="G21" s="52">
        <f>180609.2+54876.3</f>
        <v>235485.5</v>
      </c>
      <c r="H21" s="393">
        <v>221</v>
      </c>
      <c r="I21" s="393">
        <v>141.1</v>
      </c>
      <c r="J21" s="393"/>
      <c r="K21" s="393">
        <v>12.8</v>
      </c>
      <c r="L21" s="393">
        <v>1511.8</v>
      </c>
      <c r="M21" s="393">
        <v>217.1</v>
      </c>
      <c r="N21" s="393">
        <v>8379.9</v>
      </c>
      <c r="O21" s="393">
        <v>1142.8</v>
      </c>
      <c r="P21" s="393">
        <v>801.8</v>
      </c>
      <c r="Q21" s="393">
        <v>692.1</v>
      </c>
      <c r="R21" s="393"/>
      <c r="S21" s="393"/>
      <c r="T21" s="393">
        <v>220</v>
      </c>
      <c r="U21" s="393">
        <v>1241.6</v>
      </c>
      <c r="V21" s="393">
        <v>621.2</v>
      </c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4">
        <f>SUM(F21:AF21)</f>
        <v>1615717.6000000003</v>
      </c>
    </row>
    <row r="22" spans="1:33" s="395" customFormat="1" ht="39" customHeight="1">
      <c r="A22" s="276">
        <v>2</v>
      </c>
      <c r="B22" s="285">
        <v>4</v>
      </c>
      <c r="C22" s="254" t="s">
        <v>177</v>
      </c>
      <c r="D22" s="248" t="s">
        <v>314</v>
      </c>
      <c r="E22" s="392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4">
        <f>SUM(F22:AF22)</f>
        <v>0</v>
      </c>
    </row>
    <row r="23" spans="1:33" s="395" customFormat="1" ht="39" customHeight="1">
      <c r="A23" s="276">
        <v>2</v>
      </c>
      <c r="B23" s="285">
        <v>5</v>
      </c>
      <c r="C23" s="254" t="s">
        <v>180</v>
      </c>
      <c r="D23" s="248" t="s">
        <v>314</v>
      </c>
      <c r="E23" s="392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4">
        <f>SUM(F23:AF23)</f>
        <v>0</v>
      </c>
    </row>
    <row r="24" spans="1:33" s="421" customFormat="1" ht="39" customHeight="1">
      <c r="A24" s="380"/>
      <c r="B24" s="381"/>
      <c r="C24" s="383" t="s">
        <v>329</v>
      </c>
      <c r="D24" s="382"/>
      <c r="E24" s="398"/>
      <c r="F24" s="399">
        <f>SUM(F19:F23)</f>
        <v>1539527.7999999998</v>
      </c>
      <c r="G24" s="399">
        <f aca="true" t="shared" si="2" ref="G24:AG24">SUM(G19:G23)</f>
        <v>265586.6</v>
      </c>
      <c r="H24" s="399">
        <f t="shared" si="2"/>
        <v>221</v>
      </c>
      <c r="I24" s="399">
        <f t="shared" si="2"/>
        <v>141.1</v>
      </c>
      <c r="J24" s="399">
        <f t="shared" si="2"/>
        <v>0</v>
      </c>
      <c r="K24" s="399">
        <f t="shared" si="2"/>
        <v>12.8</v>
      </c>
      <c r="L24" s="399">
        <f t="shared" si="2"/>
        <v>1511.8</v>
      </c>
      <c r="M24" s="399">
        <f t="shared" si="2"/>
        <v>217.1</v>
      </c>
      <c r="N24" s="399">
        <f t="shared" si="2"/>
        <v>8379.9</v>
      </c>
      <c r="O24" s="399">
        <f t="shared" si="2"/>
        <v>1142.8</v>
      </c>
      <c r="P24" s="399">
        <f t="shared" si="2"/>
        <v>801.8</v>
      </c>
      <c r="Q24" s="399">
        <f t="shared" si="2"/>
        <v>692.1</v>
      </c>
      <c r="R24" s="399">
        <f t="shared" si="2"/>
        <v>0</v>
      </c>
      <c r="S24" s="399">
        <f t="shared" si="2"/>
        <v>0</v>
      </c>
      <c r="T24" s="399">
        <f t="shared" si="2"/>
        <v>220</v>
      </c>
      <c r="U24" s="399">
        <f t="shared" si="2"/>
        <v>1241.6</v>
      </c>
      <c r="V24" s="399">
        <f t="shared" si="2"/>
        <v>621.2</v>
      </c>
      <c r="W24" s="399">
        <f t="shared" si="2"/>
        <v>0</v>
      </c>
      <c r="X24" s="399">
        <f t="shared" si="2"/>
        <v>0</v>
      </c>
      <c r="Y24" s="399">
        <f t="shared" si="2"/>
        <v>0</v>
      </c>
      <c r="Z24" s="399">
        <f t="shared" si="2"/>
        <v>0</v>
      </c>
      <c r="AA24" s="399">
        <f t="shared" si="2"/>
        <v>0</v>
      </c>
      <c r="AB24" s="399">
        <f t="shared" si="2"/>
        <v>0</v>
      </c>
      <c r="AC24" s="399">
        <f t="shared" si="2"/>
        <v>0</v>
      </c>
      <c r="AD24" s="399">
        <f t="shared" si="2"/>
        <v>0</v>
      </c>
      <c r="AE24" s="399">
        <f t="shared" si="2"/>
        <v>0</v>
      </c>
      <c r="AF24" s="399">
        <f t="shared" si="2"/>
        <v>0</v>
      </c>
      <c r="AG24" s="399">
        <f t="shared" si="2"/>
        <v>1820317.6000000003</v>
      </c>
    </row>
    <row r="25" spans="1:35" s="395" customFormat="1" ht="39" customHeight="1" thickBot="1">
      <c r="A25" s="276">
        <v>3</v>
      </c>
      <c r="B25" s="285">
        <v>1</v>
      </c>
      <c r="C25" s="396" t="s">
        <v>315</v>
      </c>
      <c r="D25" s="251" t="s">
        <v>314</v>
      </c>
      <c r="E25" s="392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4"/>
      <c r="AI25" s="418"/>
    </row>
    <row r="26" spans="1:33" s="395" customFormat="1" ht="39" customHeight="1">
      <c r="A26" s="276">
        <v>3</v>
      </c>
      <c r="B26" s="285">
        <v>2</v>
      </c>
      <c r="C26" s="254" t="s">
        <v>187</v>
      </c>
      <c r="D26" s="248" t="s">
        <v>189</v>
      </c>
      <c r="E26" s="392"/>
      <c r="F26" s="52">
        <v>8940852.2</v>
      </c>
      <c r="G26" s="52">
        <v>1542770.2</v>
      </c>
      <c r="H26" s="393">
        <v>43255.6</v>
      </c>
      <c r="I26" s="393">
        <v>2851.5</v>
      </c>
      <c r="J26" s="393">
        <v>1174</v>
      </c>
      <c r="K26" s="393">
        <v>2176</v>
      </c>
      <c r="L26" s="393">
        <v>50162.8</v>
      </c>
      <c r="M26" s="393">
        <v>2464.6</v>
      </c>
      <c r="N26" s="393">
        <v>609968.3</v>
      </c>
      <c r="O26" s="393">
        <v>100749.5</v>
      </c>
      <c r="P26" s="393">
        <v>74547.5</v>
      </c>
      <c r="Q26" s="393">
        <v>14035.9</v>
      </c>
      <c r="R26" s="393">
        <v>350</v>
      </c>
      <c r="S26" s="393">
        <v>240</v>
      </c>
      <c r="T26" s="393">
        <v>5171.1</v>
      </c>
      <c r="U26" s="393">
        <v>32893.4</v>
      </c>
      <c r="V26" s="393">
        <v>32260.8</v>
      </c>
      <c r="W26" s="393">
        <v>198.3</v>
      </c>
      <c r="X26" s="393">
        <v>593</v>
      </c>
      <c r="Y26" s="393"/>
      <c r="Z26" s="393"/>
      <c r="AA26" s="393">
        <v>263.7</v>
      </c>
      <c r="AB26" s="393">
        <f>4280+2070+450+5900</f>
        <v>12700</v>
      </c>
      <c r="AC26" s="393"/>
      <c r="AD26" s="393"/>
      <c r="AE26" s="393"/>
      <c r="AF26" s="393"/>
      <c r="AG26" s="394">
        <f>SUM(F26:AF26)</f>
        <v>11469678.4</v>
      </c>
    </row>
    <row r="27" spans="1:33" s="395" customFormat="1" ht="39" customHeight="1">
      <c r="A27" s="276">
        <v>3</v>
      </c>
      <c r="B27" s="285">
        <v>3</v>
      </c>
      <c r="C27" s="254" t="s">
        <v>193</v>
      </c>
      <c r="D27" s="248" t="s">
        <v>189</v>
      </c>
      <c r="E27" s="392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4">
        <f>SUM(F27:AF27)</f>
        <v>0</v>
      </c>
    </row>
    <row r="28" spans="1:33" s="395" customFormat="1" ht="39" customHeight="1">
      <c r="A28" s="276">
        <v>3</v>
      </c>
      <c r="B28" s="285">
        <v>4</v>
      </c>
      <c r="C28" s="254" t="s">
        <v>196</v>
      </c>
      <c r="D28" s="248" t="s">
        <v>314</v>
      </c>
      <c r="E28" s="392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4">
        <f>SUM(F28:AF28)</f>
        <v>0</v>
      </c>
    </row>
    <row r="29" spans="1:33" s="395" customFormat="1" ht="39" customHeight="1">
      <c r="A29" s="276">
        <v>3</v>
      </c>
      <c r="B29" s="285">
        <v>5</v>
      </c>
      <c r="C29" s="254" t="s">
        <v>201</v>
      </c>
      <c r="D29" s="248" t="s">
        <v>314</v>
      </c>
      <c r="E29" s="392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4">
        <f>SUM(F29:AF29)</f>
        <v>0</v>
      </c>
    </row>
    <row r="30" spans="1:33" s="395" customFormat="1" ht="39" customHeight="1">
      <c r="A30" s="276">
        <v>3</v>
      </c>
      <c r="B30" s="285">
        <v>6</v>
      </c>
      <c r="C30" s="254" t="s">
        <v>205</v>
      </c>
      <c r="D30" s="248" t="s">
        <v>314</v>
      </c>
      <c r="E30" s="392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4">
        <f>SUM(F30:AF30)</f>
        <v>0</v>
      </c>
    </row>
    <row r="31" spans="1:35" s="400" customFormat="1" ht="39" customHeight="1">
      <c r="A31" s="380"/>
      <c r="B31" s="381"/>
      <c r="C31" s="397" t="s">
        <v>329</v>
      </c>
      <c r="D31" s="382"/>
      <c r="E31" s="398"/>
      <c r="F31" s="399">
        <f>SUM(F26:F30)</f>
        <v>8940852.2</v>
      </c>
      <c r="G31" s="399">
        <f aca="true" t="shared" si="3" ref="G31:AF31">SUM(G26:G30)</f>
        <v>1542770.2</v>
      </c>
      <c r="H31" s="399">
        <f t="shared" si="3"/>
        <v>43255.6</v>
      </c>
      <c r="I31" s="399">
        <f t="shared" si="3"/>
        <v>2851.5</v>
      </c>
      <c r="J31" s="399">
        <f t="shared" si="3"/>
        <v>1174</v>
      </c>
      <c r="K31" s="399">
        <f t="shared" si="3"/>
        <v>2176</v>
      </c>
      <c r="L31" s="399">
        <f t="shared" si="3"/>
        <v>50162.8</v>
      </c>
      <c r="M31" s="399">
        <f t="shared" si="3"/>
        <v>2464.6</v>
      </c>
      <c r="N31" s="399">
        <f t="shared" si="3"/>
        <v>609968.3</v>
      </c>
      <c r="O31" s="399">
        <f t="shared" si="3"/>
        <v>100749.5</v>
      </c>
      <c r="P31" s="399">
        <f t="shared" si="3"/>
        <v>74547.5</v>
      </c>
      <c r="Q31" s="399">
        <f t="shared" si="3"/>
        <v>14035.9</v>
      </c>
      <c r="R31" s="399">
        <f t="shared" si="3"/>
        <v>350</v>
      </c>
      <c r="S31" s="399">
        <f t="shared" si="3"/>
        <v>240</v>
      </c>
      <c r="T31" s="399">
        <f t="shared" si="3"/>
        <v>5171.1</v>
      </c>
      <c r="U31" s="399">
        <f t="shared" si="3"/>
        <v>32893.4</v>
      </c>
      <c r="V31" s="399">
        <f t="shared" si="3"/>
        <v>32260.8</v>
      </c>
      <c r="W31" s="399">
        <f t="shared" si="3"/>
        <v>198.3</v>
      </c>
      <c r="X31" s="399">
        <f t="shared" si="3"/>
        <v>593</v>
      </c>
      <c r="Y31" s="399">
        <f t="shared" si="3"/>
        <v>0</v>
      </c>
      <c r="Z31" s="399">
        <f t="shared" si="3"/>
        <v>0</v>
      </c>
      <c r="AA31" s="399">
        <f t="shared" si="3"/>
        <v>263.7</v>
      </c>
      <c r="AB31" s="399">
        <f t="shared" si="3"/>
        <v>12700</v>
      </c>
      <c r="AC31" s="399">
        <f t="shared" si="3"/>
        <v>0</v>
      </c>
      <c r="AD31" s="399">
        <f t="shared" si="3"/>
        <v>0</v>
      </c>
      <c r="AE31" s="399">
        <f t="shared" si="3"/>
        <v>0</v>
      </c>
      <c r="AF31" s="399">
        <f t="shared" si="3"/>
        <v>0</v>
      </c>
      <c r="AG31" s="399">
        <f>SUM(AG26:AG30)</f>
        <v>11469678.4</v>
      </c>
      <c r="AI31" s="422"/>
    </row>
    <row r="32" spans="1:34" s="395" customFormat="1" ht="39" customHeight="1" thickBot="1">
      <c r="A32" s="276">
        <v>4</v>
      </c>
      <c r="B32" s="285">
        <v>1</v>
      </c>
      <c r="C32" s="396" t="s">
        <v>316</v>
      </c>
      <c r="D32" s="251" t="s">
        <v>317</v>
      </c>
      <c r="E32" s="392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4">
        <f>SUM(F32:AF32)</f>
        <v>0</v>
      </c>
      <c r="AH32" s="418"/>
    </row>
    <row r="33" spans="1:33" s="395" customFormat="1" ht="39" customHeight="1">
      <c r="A33" s="276">
        <v>4</v>
      </c>
      <c r="B33" s="285">
        <v>2</v>
      </c>
      <c r="C33" s="254" t="s">
        <v>209</v>
      </c>
      <c r="D33" s="248" t="s">
        <v>317</v>
      </c>
      <c r="E33" s="392"/>
      <c r="F33" s="52">
        <f>19967.3+131141.5</f>
        <v>151108.8</v>
      </c>
      <c r="G33" s="52">
        <f>22621.9+3444.4</f>
        <v>26066.300000000003</v>
      </c>
      <c r="H33" s="393">
        <v>40</v>
      </c>
      <c r="I33" s="393">
        <v>422.7</v>
      </c>
      <c r="J33" s="393"/>
      <c r="K33" s="393"/>
      <c r="L33" s="393">
        <v>863.7</v>
      </c>
      <c r="M33" s="393"/>
      <c r="N33" s="393">
        <v>1112.9</v>
      </c>
      <c r="O33" s="393"/>
      <c r="P33" s="393"/>
      <c r="Q33" s="393">
        <v>587.3</v>
      </c>
      <c r="R33" s="393"/>
      <c r="S33" s="393"/>
      <c r="T33" s="393">
        <v>1365</v>
      </c>
      <c r="U33" s="393">
        <v>5102.8</v>
      </c>
      <c r="V33" s="393">
        <v>4437.1</v>
      </c>
      <c r="W33" s="393"/>
      <c r="X33" s="393"/>
      <c r="Y33" s="393"/>
      <c r="Z33" s="393"/>
      <c r="AA33" s="393">
        <v>9033.2</v>
      </c>
      <c r="AB33" s="393">
        <v>3800</v>
      </c>
      <c r="AC33" s="393">
        <v>300</v>
      </c>
      <c r="AD33" s="393"/>
      <c r="AE33" s="393"/>
      <c r="AF33" s="393"/>
      <c r="AG33" s="394">
        <f aca="true" t="shared" si="4" ref="AG33:AG40">SUM(F33:AF33)</f>
        <v>204239.8</v>
      </c>
    </row>
    <row r="34" spans="1:33" s="395" customFormat="1" ht="39" customHeight="1">
      <c r="A34" s="276">
        <v>4</v>
      </c>
      <c r="B34" s="285">
        <v>3</v>
      </c>
      <c r="C34" s="254" t="s">
        <v>212</v>
      </c>
      <c r="D34" s="248" t="s">
        <v>317</v>
      </c>
      <c r="E34" s="392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4">
        <f t="shared" si="4"/>
        <v>0</v>
      </c>
    </row>
    <row r="35" spans="1:33" s="395" customFormat="1" ht="39" customHeight="1">
      <c r="A35" s="276">
        <v>4</v>
      </c>
      <c r="B35" s="285">
        <v>5</v>
      </c>
      <c r="C35" s="254" t="s">
        <v>216</v>
      </c>
      <c r="D35" s="248" t="s">
        <v>317</v>
      </c>
      <c r="E35" s="392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4">
        <f t="shared" si="4"/>
        <v>0</v>
      </c>
    </row>
    <row r="36" spans="1:33" s="395" customFormat="1" ht="39" customHeight="1">
      <c r="A36" s="276">
        <v>4</v>
      </c>
      <c r="B36" s="285">
        <v>6</v>
      </c>
      <c r="C36" s="254" t="s">
        <v>219</v>
      </c>
      <c r="D36" s="248" t="s">
        <v>317</v>
      </c>
      <c r="E36" s="392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4">
        <f t="shared" si="4"/>
        <v>0</v>
      </c>
    </row>
    <row r="37" spans="1:34" s="400" customFormat="1" ht="39" customHeight="1">
      <c r="A37" s="380"/>
      <c r="B37" s="381"/>
      <c r="C37" s="397" t="s">
        <v>329</v>
      </c>
      <c r="D37" s="382"/>
      <c r="E37" s="398"/>
      <c r="F37" s="399">
        <f>SUM(F33:F36)</f>
        <v>151108.8</v>
      </c>
      <c r="G37" s="399">
        <f aca="true" t="shared" si="5" ref="G37:AF37">SUM(G33:G36)</f>
        <v>26066.300000000003</v>
      </c>
      <c r="H37" s="399">
        <f t="shared" si="5"/>
        <v>40</v>
      </c>
      <c r="I37" s="399">
        <f t="shared" si="5"/>
        <v>422.7</v>
      </c>
      <c r="J37" s="399">
        <f t="shared" si="5"/>
        <v>0</v>
      </c>
      <c r="K37" s="399">
        <f t="shared" si="5"/>
        <v>0</v>
      </c>
      <c r="L37" s="399">
        <f t="shared" si="5"/>
        <v>863.7</v>
      </c>
      <c r="M37" s="399">
        <f t="shared" si="5"/>
        <v>0</v>
      </c>
      <c r="N37" s="399">
        <f t="shared" si="5"/>
        <v>1112.9</v>
      </c>
      <c r="O37" s="399">
        <f t="shared" si="5"/>
        <v>0</v>
      </c>
      <c r="P37" s="399">
        <f t="shared" si="5"/>
        <v>0</v>
      </c>
      <c r="Q37" s="399">
        <f t="shared" si="5"/>
        <v>587.3</v>
      </c>
      <c r="R37" s="399">
        <f t="shared" si="5"/>
        <v>0</v>
      </c>
      <c r="S37" s="399">
        <f t="shared" si="5"/>
        <v>0</v>
      </c>
      <c r="T37" s="399">
        <f t="shared" si="5"/>
        <v>1365</v>
      </c>
      <c r="U37" s="399">
        <f t="shared" si="5"/>
        <v>5102.8</v>
      </c>
      <c r="V37" s="399">
        <f t="shared" si="5"/>
        <v>4437.1</v>
      </c>
      <c r="W37" s="399">
        <f t="shared" si="5"/>
        <v>0</v>
      </c>
      <c r="X37" s="399">
        <f t="shared" si="5"/>
        <v>0</v>
      </c>
      <c r="Y37" s="399">
        <f t="shared" si="5"/>
        <v>0</v>
      </c>
      <c r="Z37" s="399">
        <f t="shared" si="5"/>
        <v>0</v>
      </c>
      <c r="AA37" s="399">
        <f t="shared" si="5"/>
        <v>9033.2</v>
      </c>
      <c r="AB37" s="399">
        <f t="shared" si="5"/>
        <v>3800</v>
      </c>
      <c r="AC37" s="399">
        <f t="shared" si="5"/>
        <v>300</v>
      </c>
      <c r="AD37" s="399">
        <f t="shared" si="5"/>
        <v>0</v>
      </c>
      <c r="AE37" s="399">
        <f t="shared" si="5"/>
        <v>0</v>
      </c>
      <c r="AF37" s="399">
        <f t="shared" si="5"/>
        <v>0</v>
      </c>
      <c r="AG37" s="399">
        <f>SUM(AG33:AG36)</f>
        <v>204239.8</v>
      </c>
      <c r="AH37" s="400">
        <f>'[1]Приложение  4'!B13</f>
        <v>199868.8</v>
      </c>
    </row>
    <row r="38" spans="1:34" s="395" customFormat="1" ht="39" customHeight="1" thickBot="1">
      <c r="A38" s="276">
        <v>5</v>
      </c>
      <c r="B38" s="285">
        <v>1</v>
      </c>
      <c r="C38" s="396" t="s">
        <v>318</v>
      </c>
      <c r="D38" s="251" t="s">
        <v>317</v>
      </c>
      <c r="E38" s="392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4"/>
      <c r="AH38" s="418"/>
    </row>
    <row r="39" spans="1:33" s="395" customFormat="1" ht="39" customHeight="1">
      <c r="A39" s="276">
        <v>5</v>
      </c>
      <c r="B39" s="285">
        <v>2</v>
      </c>
      <c r="C39" s="254" t="s">
        <v>221</v>
      </c>
      <c r="D39" s="248" t="s">
        <v>317</v>
      </c>
      <c r="E39" s="392"/>
      <c r="F39" s="52">
        <v>534525.2</v>
      </c>
      <c r="G39" s="52">
        <v>92038.6</v>
      </c>
      <c r="H39" s="393">
        <v>29.9</v>
      </c>
      <c r="I39" s="393">
        <v>104.8</v>
      </c>
      <c r="J39" s="393"/>
      <c r="K39" s="393"/>
      <c r="L39" s="393">
        <v>7373.2</v>
      </c>
      <c r="M39" s="393"/>
      <c r="N39" s="393">
        <v>3530.7</v>
      </c>
      <c r="O39" s="393"/>
      <c r="P39" s="393"/>
      <c r="Q39" s="393">
        <v>319.1</v>
      </c>
      <c r="R39" s="393"/>
      <c r="S39" s="393"/>
      <c r="T39" s="393">
        <v>874</v>
      </c>
      <c r="U39" s="393">
        <v>4263</v>
      </c>
      <c r="V39" s="393">
        <v>7174.9</v>
      </c>
      <c r="W39" s="393"/>
      <c r="X39" s="393"/>
      <c r="Y39" s="393"/>
      <c r="Z39" s="393"/>
      <c r="AA39" s="393">
        <v>50759.8</v>
      </c>
      <c r="AB39" s="393">
        <v>2000</v>
      </c>
      <c r="AC39" s="393"/>
      <c r="AD39" s="393"/>
      <c r="AE39" s="393"/>
      <c r="AF39" s="393"/>
      <c r="AG39" s="394">
        <f t="shared" si="4"/>
        <v>702993.2</v>
      </c>
    </row>
    <row r="40" spans="1:33" s="395" customFormat="1" ht="39" customHeight="1">
      <c r="A40" s="276">
        <v>5</v>
      </c>
      <c r="B40" s="285">
        <v>3</v>
      </c>
      <c r="C40" s="254" t="s">
        <v>225</v>
      </c>
      <c r="D40" s="248" t="s">
        <v>317</v>
      </c>
      <c r="E40" s="392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4">
        <f t="shared" si="4"/>
        <v>0</v>
      </c>
    </row>
    <row r="41" spans="1:34" s="400" customFormat="1" ht="39" customHeight="1">
      <c r="A41" s="380"/>
      <c r="B41" s="381"/>
      <c r="C41" s="397"/>
      <c r="D41" s="382" t="s">
        <v>330</v>
      </c>
      <c r="E41" s="398"/>
      <c r="F41" s="399">
        <f>SUM(F39:F40)</f>
        <v>534525.2</v>
      </c>
      <c r="G41" s="399">
        <f aca="true" t="shared" si="6" ref="G41:AF41">SUM(G39:G40)</f>
        <v>92038.6</v>
      </c>
      <c r="H41" s="399">
        <f t="shared" si="6"/>
        <v>29.9</v>
      </c>
      <c r="I41" s="399">
        <f t="shared" si="6"/>
        <v>104.8</v>
      </c>
      <c r="J41" s="399">
        <f t="shared" si="6"/>
        <v>0</v>
      </c>
      <c r="K41" s="399">
        <f t="shared" si="6"/>
        <v>0</v>
      </c>
      <c r="L41" s="399">
        <f t="shared" si="6"/>
        <v>7373.2</v>
      </c>
      <c r="M41" s="399">
        <f t="shared" si="6"/>
        <v>0</v>
      </c>
      <c r="N41" s="399">
        <f t="shared" si="6"/>
        <v>3530.7</v>
      </c>
      <c r="O41" s="399">
        <f t="shared" si="6"/>
        <v>0</v>
      </c>
      <c r="P41" s="399">
        <f t="shared" si="6"/>
        <v>0</v>
      </c>
      <c r="Q41" s="399">
        <f t="shared" si="6"/>
        <v>319.1</v>
      </c>
      <c r="R41" s="399">
        <f t="shared" si="6"/>
        <v>0</v>
      </c>
      <c r="S41" s="399">
        <f t="shared" si="6"/>
        <v>0</v>
      </c>
      <c r="T41" s="399">
        <f t="shared" si="6"/>
        <v>874</v>
      </c>
      <c r="U41" s="399">
        <f t="shared" si="6"/>
        <v>4263</v>
      </c>
      <c r="V41" s="399">
        <f t="shared" si="6"/>
        <v>7174.9</v>
      </c>
      <c r="W41" s="399">
        <f t="shared" si="6"/>
        <v>0</v>
      </c>
      <c r="X41" s="399">
        <f t="shared" si="6"/>
        <v>0</v>
      </c>
      <c r="Y41" s="399">
        <f t="shared" si="6"/>
        <v>0</v>
      </c>
      <c r="Z41" s="399">
        <f t="shared" si="6"/>
        <v>0</v>
      </c>
      <c r="AA41" s="399">
        <f t="shared" si="6"/>
        <v>50759.8</v>
      </c>
      <c r="AB41" s="399">
        <f t="shared" si="6"/>
        <v>2000</v>
      </c>
      <c r="AC41" s="399">
        <f t="shared" si="6"/>
        <v>0</v>
      </c>
      <c r="AD41" s="399">
        <f t="shared" si="6"/>
        <v>0</v>
      </c>
      <c r="AE41" s="399">
        <f t="shared" si="6"/>
        <v>0</v>
      </c>
      <c r="AF41" s="399">
        <f t="shared" si="6"/>
        <v>0</v>
      </c>
      <c r="AG41" s="399">
        <f>SUM(AG39:AG40)</f>
        <v>702993.2</v>
      </c>
      <c r="AH41" s="400">
        <f>'[1]Приложение  4'!B14</f>
        <v>707202.6</v>
      </c>
    </row>
    <row r="42" spans="1:33" s="395" customFormat="1" ht="39" customHeight="1" thickBot="1">
      <c r="A42" s="276">
        <v>6</v>
      </c>
      <c r="B42" s="285">
        <v>1</v>
      </c>
      <c r="C42" s="396" t="s">
        <v>319</v>
      </c>
      <c r="D42" s="251" t="s">
        <v>317</v>
      </c>
      <c r="E42" s="392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4">
        <v>0</v>
      </c>
    </row>
    <row r="43" spans="1:33" s="395" customFormat="1" ht="39" customHeight="1">
      <c r="A43" s="276">
        <v>6</v>
      </c>
      <c r="B43" s="285">
        <v>2</v>
      </c>
      <c r="C43" s="254" t="s">
        <v>227</v>
      </c>
      <c r="D43" s="248" t="s">
        <v>314</v>
      </c>
      <c r="E43" s="392"/>
      <c r="F43" s="52">
        <v>12938.5</v>
      </c>
      <c r="G43" s="52">
        <v>2232</v>
      </c>
      <c r="H43" s="393"/>
      <c r="I43" s="393">
        <v>84.6</v>
      </c>
      <c r="J43" s="393">
        <v>38.8</v>
      </c>
      <c r="K43" s="393"/>
      <c r="L43" s="393">
        <v>1376.5</v>
      </c>
      <c r="M43" s="393"/>
      <c r="N43" s="393"/>
      <c r="O43" s="393">
        <v>40</v>
      </c>
      <c r="P43" s="393">
        <v>13</v>
      </c>
      <c r="Q43" s="393"/>
      <c r="R43" s="393"/>
      <c r="S43" s="393"/>
      <c r="T43" s="393">
        <v>28.6</v>
      </c>
      <c r="U43" s="393">
        <v>538.2</v>
      </c>
      <c r="V43" s="393">
        <v>1833.7</v>
      </c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4">
        <f>SUM(F43:AF43)</f>
        <v>19123.9</v>
      </c>
    </row>
    <row r="44" spans="1:33" s="395" customFormat="1" ht="39" customHeight="1">
      <c r="A44" s="276">
        <v>6</v>
      </c>
      <c r="B44" s="285">
        <v>3</v>
      </c>
      <c r="C44" s="254" t="s">
        <v>232</v>
      </c>
      <c r="D44" s="248" t="s">
        <v>317</v>
      </c>
      <c r="E44" s="392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4">
        <v>0</v>
      </c>
    </row>
    <row r="45" spans="1:33" s="400" customFormat="1" ht="39" customHeight="1">
      <c r="A45" s="380"/>
      <c r="B45" s="381"/>
      <c r="C45" s="397" t="s">
        <v>329</v>
      </c>
      <c r="D45" s="382"/>
      <c r="E45" s="398"/>
      <c r="F45" s="399">
        <f>F43</f>
        <v>12938.5</v>
      </c>
      <c r="G45" s="399">
        <f aca="true" t="shared" si="7" ref="G45:AG45">G43</f>
        <v>2232</v>
      </c>
      <c r="H45" s="399">
        <f t="shared" si="7"/>
        <v>0</v>
      </c>
      <c r="I45" s="399">
        <f t="shared" si="7"/>
        <v>84.6</v>
      </c>
      <c r="J45" s="399">
        <f t="shared" si="7"/>
        <v>38.8</v>
      </c>
      <c r="K45" s="399">
        <f t="shared" si="7"/>
        <v>0</v>
      </c>
      <c r="L45" s="399">
        <f t="shared" si="7"/>
        <v>1376.5</v>
      </c>
      <c r="M45" s="399">
        <f t="shared" si="7"/>
        <v>0</v>
      </c>
      <c r="N45" s="399">
        <f t="shared" si="7"/>
        <v>0</v>
      </c>
      <c r="O45" s="399">
        <f t="shared" si="7"/>
        <v>40</v>
      </c>
      <c r="P45" s="399">
        <f t="shared" si="7"/>
        <v>13</v>
      </c>
      <c r="Q45" s="399">
        <f t="shared" si="7"/>
        <v>0</v>
      </c>
      <c r="R45" s="399">
        <f t="shared" si="7"/>
        <v>0</v>
      </c>
      <c r="S45" s="399">
        <f t="shared" si="7"/>
        <v>0</v>
      </c>
      <c r="T45" s="399">
        <f t="shared" si="7"/>
        <v>28.6</v>
      </c>
      <c r="U45" s="399">
        <f t="shared" si="7"/>
        <v>538.2</v>
      </c>
      <c r="V45" s="399">
        <f t="shared" si="7"/>
        <v>1833.7</v>
      </c>
      <c r="W45" s="399">
        <f t="shared" si="7"/>
        <v>0</v>
      </c>
      <c r="X45" s="399">
        <f t="shared" si="7"/>
        <v>0</v>
      </c>
      <c r="Y45" s="399">
        <f t="shared" si="7"/>
        <v>0</v>
      </c>
      <c r="Z45" s="399">
        <f t="shared" si="7"/>
        <v>0</v>
      </c>
      <c r="AA45" s="399">
        <f t="shared" si="7"/>
        <v>0</v>
      </c>
      <c r="AB45" s="399">
        <f t="shared" si="7"/>
        <v>0</v>
      </c>
      <c r="AC45" s="399">
        <f t="shared" si="7"/>
        <v>0</v>
      </c>
      <c r="AD45" s="399">
        <f t="shared" si="7"/>
        <v>0</v>
      </c>
      <c r="AE45" s="399">
        <f t="shared" si="7"/>
        <v>0</v>
      </c>
      <c r="AF45" s="399">
        <f t="shared" si="7"/>
        <v>0</v>
      </c>
      <c r="AG45" s="399">
        <f t="shared" si="7"/>
        <v>19123.9</v>
      </c>
    </row>
    <row r="46" spans="1:33" s="395" customFormat="1" ht="39" customHeight="1">
      <c r="A46" s="276">
        <v>7</v>
      </c>
      <c r="B46" s="285">
        <v>1</v>
      </c>
      <c r="C46" s="396" t="s">
        <v>320</v>
      </c>
      <c r="D46" s="255" t="s">
        <v>235</v>
      </c>
      <c r="E46" s="392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4"/>
    </row>
    <row r="47" spans="1:33" s="395" customFormat="1" ht="39" customHeight="1">
      <c r="A47" s="276">
        <v>7</v>
      </c>
      <c r="B47" s="285">
        <v>2</v>
      </c>
      <c r="C47" s="254" t="s">
        <v>96</v>
      </c>
      <c r="D47" s="255" t="s">
        <v>235</v>
      </c>
      <c r="E47" s="392"/>
      <c r="F47" s="393">
        <v>126904.1</v>
      </c>
      <c r="G47" s="23">
        <f>21211.2+1121.2</f>
        <v>22332.4</v>
      </c>
      <c r="H47" s="393">
        <v>815.4</v>
      </c>
      <c r="I47" s="393">
        <v>1595</v>
      </c>
      <c r="J47" s="393"/>
      <c r="K47" s="393">
        <v>556.3</v>
      </c>
      <c r="L47" s="393">
        <v>7873.5</v>
      </c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>
        <v>1000</v>
      </c>
      <c r="AB47" s="393"/>
      <c r="AC47" s="393"/>
      <c r="AD47" s="393"/>
      <c r="AE47" s="393"/>
      <c r="AF47" s="393"/>
      <c r="AG47" s="394">
        <f>SUM(F47:AF47)</f>
        <v>161076.69999999998</v>
      </c>
    </row>
    <row r="48" spans="1:33" s="395" customFormat="1" ht="39" customHeight="1">
      <c r="A48" s="276">
        <v>7</v>
      </c>
      <c r="B48" s="277">
        <v>3</v>
      </c>
      <c r="C48" s="254" t="s">
        <v>321</v>
      </c>
      <c r="D48" s="254" t="s">
        <v>235</v>
      </c>
      <c r="E48" s="423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394">
        <f>SUM(F48:AF48)</f>
        <v>0</v>
      </c>
    </row>
    <row r="49" spans="1:33" s="400" customFormat="1" ht="39" customHeight="1">
      <c r="A49" s="401"/>
      <c r="B49" s="401"/>
      <c r="C49" s="401" t="s">
        <v>330</v>
      </c>
      <c r="D49" s="401"/>
      <c r="E49" s="402"/>
      <c r="F49" s="403">
        <f>F47+F48</f>
        <v>126904.1</v>
      </c>
      <c r="G49" s="403">
        <f aca="true" t="shared" si="8" ref="G49:AF49">G47+G48</f>
        <v>22332.4</v>
      </c>
      <c r="H49" s="403">
        <f t="shared" si="8"/>
        <v>815.4</v>
      </c>
      <c r="I49" s="403">
        <f t="shared" si="8"/>
        <v>1595</v>
      </c>
      <c r="J49" s="403">
        <f t="shared" si="8"/>
        <v>0</v>
      </c>
      <c r="K49" s="403">
        <f t="shared" si="8"/>
        <v>556.3</v>
      </c>
      <c r="L49" s="403">
        <f t="shared" si="8"/>
        <v>7873.5</v>
      </c>
      <c r="M49" s="403">
        <f t="shared" si="8"/>
        <v>0</v>
      </c>
      <c r="N49" s="403">
        <f t="shared" si="8"/>
        <v>0</v>
      </c>
      <c r="O49" s="403">
        <f t="shared" si="8"/>
        <v>0</v>
      </c>
      <c r="P49" s="403">
        <f t="shared" si="8"/>
        <v>0</v>
      </c>
      <c r="Q49" s="403">
        <f t="shared" si="8"/>
        <v>0</v>
      </c>
      <c r="R49" s="403">
        <f t="shared" si="8"/>
        <v>0</v>
      </c>
      <c r="S49" s="403">
        <f t="shared" si="8"/>
        <v>0</v>
      </c>
      <c r="T49" s="403">
        <f t="shared" si="8"/>
        <v>0</v>
      </c>
      <c r="U49" s="403">
        <f t="shared" si="8"/>
        <v>0</v>
      </c>
      <c r="V49" s="403">
        <f t="shared" si="8"/>
        <v>0</v>
      </c>
      <c r="W49" s="403">
        <f t="shared" si="8"/>
        <v>0</v>
      </c>
      <c r="X49" s="403">
        <f t="shared" si="8"/>
        <v>0</v>
      </c>
      <c r="Y49" s="403">
        <f t="shared" si="8"/>
        <v>0</v>
      </c>
      <c r="Z49" s="403">
        <f t="shared" si="8"/>
        <v>0</v>
      </c>
      <c r="AA49" s="403">
        <f t="shared" si="8"/>
        <v>1000</v>
      </c>
      <c r="AB49" s="403">
        <f t="shared" si="8"/>
        <v>0</v>
      </c>
      <c r="AC49" s="403">
        <f t="shared" si="8"/>
        <v>0</v>
      </c>
      <c r="AD49" s="403">
        <f t="shared" si="8"/>
        <v>0</v>
      </c>
      <c r="AE49" s="403">
        <f t="shared" si="8"/>
        <v>0</v>
      </c>
      <c r="AF49" s="403">
        <f t="shared" si="8"/>
        <v>0</v>
      </c>
      <c r="AG49" s="403">
        <f>AG48+AG47</f>
        <v>161076.69999999998</v>
      </c>
    </row>
    <row r="50" spans="1:33" s="407" customFormat="1" ht="39" customHeight="1">
      <c r="A50" s="404"/>
      <c r="B50" s="404"/>
      <c r="C50" s="404" t="s">
        <v>331</v>
      </c>
      <c r="D50" s="404"/>
      <c r="E50" s="405"/>
      <c r="F50" s="406">
        <f>F18+F24+F31+F37+F41+F45+F49</f>
        <v>11462448.6</v>
      </c>
      <c r="G50" s="406">
        <f aca="true" t="shared" si="9" ref="G50:AG50">G18+G24+G31+G37+G41+G45+G49</f>
        <v>1977399.1254999998</v>
      </c>
      <c r="H50" s="406">
        <f t="shared" si="9"/>
        <v>48838.200000000004</v>
      </c>
      <c r="I50" s="406">
        <f t="shared" si="9"/>
        <v>9701</v>
      </c>
      <c r="J50" s="406">
        <f t="shared" si="9"/>
        <v>1356.3999999999999</v>
      </c>
      <c r="K50" s="406">
        <f t="shared" si="9"/>
        <v>6262.000000000001</v>
      </c>
      <c r="L50" s="406">
        <f t="shared" si="9"/>
        <v>147768.35600000003</v>
      </c>
      <c r="M50" s="406">
        <f t="shared" si="9"/>
        <v>2681.7</v>
      </c>
      <c r="N50" s="406">
        <f t="shared" si="9"/>
        <v>622991.8</v>
      </c>
      <c r="O50" s="406">
        <f t="shared" si="9"/>
        <v>102432.3</v>
      </c>
      <c r="P50" s="406">
        <f t="shared" si="9"/>
        <v>83315</v>
      </c>
      <c r="Q50" s="406">
        <f t="shared" si="9"/>
        <v>16144.3</v>
      </c>
      <c r="R50" s="406">
        <f t="shared" si="9"/>
        <v>350</v>
      </c>
      <c r="S50" s="406">
        <f t="shared" si="9"/>
        <v>740</v>
      </c>
      <c r="T50" s="406">
        <f t="shared" si="9"/>
        <v>8294.4</v>
      </c>
      <c r="U50" s="406">
        <f t="shared" si="9"/>
        <v>46399.6</v>
      </c>
      <c r="V50" s="406">
        <f t="shared" si="9"/>
        <v>51081.1</v>
      </c>
      <c r="W50" s="406">
        <f t="shared" si="9"/>
        <v>198.3</v>
      </c>
      <c r="X50" s="406">
        <f t="shared" si="9"/>
        <v>593</v>
      </c>
      <c r="Y50" s="406">
        <f t="shared" si="9"/>
        <v>0</v>
      </c>
      <c r="Z50" s="406">
        <f t="shared" si="9"/>
        <v>0</v>
      </c>
      <c r="AA50" s="406">
        <f t="shared" si="9"/>
        <v>61056.700000000004</v>
      </c>
      <c r="AB50" s="406">
        <f t="shared" si="9"/>
        <v>20000</v>
      </c>
      <c r="AC50" s="406">
        <f>AC18+AC24+AC31+AC37+AC41+AC45+AC49</f>
        <v>157852</v>
      </c>
      <c r="AD50" s="406">
        <f t="shared" si="9"/>
        <v>0</v>
      </c>
      <c r="AE50" s="406">
        <f t="shared" si="9"/>
        <v>0</v>
      </c>
      <c r="AF50" s="406">
        <f t="shared" si="9"/>
        <v>0</v>
      </c>
      <c r="AG50" s="406">
        <f t="shared" si="9"/>
        <v>14827903.8815</v>
      </c>
    </row>
    <row r="51" spans="3:33" ht="12.75">
      <c r="C51" s="290"/>
      <c r="D51" s="290" t="s">
        <v>323</v>
      </c>
      <c r="E51" s="291"/>
      <c r="F51" s="292">
        <v>0</v>
      </c>
      <c r="G51" s="292">
        <v>0</v>
      </c>
      <c r="H51" s="292">
        <v>0</v>
      </c>
      <c r="I51" s="292">
        <v>0</v>
      </c>
      <c r="J51" s="292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G51" s="293"/>
    </row>
    <row r="52" spans="3:33" ht="22.5">
      <c r="C52" s="290"/>
      <c r="D52" s="290"/>
      <c r="E52" s="291"/>
      <c r="F52" s="294"/>
      <c r="G52" s="295" t="s">
        <v>324</v>
      </c>
      <c r="H52" s="292">
        <v>1209674.6</v>
      </c>
      <c r="I52" s="294"/>
      <c r="J52" s="294"/>
      <c r="AG52" s="293"/>
    </row>
    <row r="53" spans="3:33" ht="12.75">
      <c r="C53" s="290"/>
      <c r="D53" s="290"/>
      <c r="E53" s="291"/>
      <c r="F53" s="294"/>
      <c r="G53" s="294" t="s">
        <v>325</v>
      </c>
      <c r="H53" s="292">
        <v>175568.1</v>
      </c>
      <c r="I53" s="294"/>
      <c r="J53" s="294"/>
      <c r="L53" s="293"/>
      <c r="AG53" s="293"/>
    </row>
  </sheetData>
  <sheetProtection/>
  <mergeCells count="1">
    <mergeCell ref="C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D4">
      <pane xSplit="8415" ySplit="2835" topLeftCell="Z38" activePane="bottomRight" state="split"/>
      <selection pane="topLeft"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9.140625" defaultRowHeight="12.75"/>
  <cols>
    <col min="1" max="1" width="6.7109375" style="297" customWidth="1"/>
    <col min="2" max="2" width="5.57421875" style="297" customWidth="1"/>
    <col min="3" max="3" width="64.140625" style="297" customWidth="1"/>
    <col min="4" max="4" width="50.28125" style="297" customWidth="1"/>
    <col min="5" max="5" width="9.140625" style="297" customWidth="1"/>
    <col min="6" max="6" width="10.28125" style="355" bestFit="1" customWidth="1"/>
    <col min="7" max="11" width="9.140625" style="355" customWidth="1"/>
    <col min="12" max="12" width="9.140625" style="356" customWidth="1"/>
    <col min="13" max="34" width="9.140625" style="355" customWidth="1"/>
    <col min="35" max="35" width="11.421875" style="355" customWidth="1"/>
    <col min="36" max="16384" width="9.140625" style="297" customWidth="1"/>
  </cols>
  <sheetData>
    <row r="1" spans="3:35" ht="12.75">
      <c r="C1" s="298"/>
      <c r="D1" s="298"/>
      <c r="E1" s="298"/>
      <c r="F1" s="299"/>
      <c r="G1" s="299"/>
      <c r="H1" s="299"/>
      <c r="I1" s="299"/>
      <c r="J1" s="299"/>
      <c r="K1" s="299"/>
      <c r="L1" s="300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2"/>
      <c r="AC1" s="302"/>
      <c r="AD1" s="302"/>
      <c r="AE1" s="302"/>
      <c r="AF1" s="302"/>
      <c r="AG1" s="302"/>
      <c r="AH1" s="302"/>
      <c r="AI1" s="303" t="s">
        <v>273</v>
      </c>
    </row>
    <row r="2" spans="1:35" s="239" customFormat="1" ht="15">
      <c r="A2" s="261" t="s">
        <v>333</v>
      </c>
      <c r="C2" s="241"/>
      <c r="D2" s="241"/>
      <c r="E2" s="241"/>
      <c r="F2" s="304"/>
      <c r="G2" s="304"/>
      <c r="H2" s="304"/>
      <c r="I2" s="304"/>
      <c r="J2" s="304"/>
      <c r="K2" s="304"/>
      <c r="L2" s="305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6"/>
      <c r="AA2" s="306"/>
      <c r="AB2" s="306"/>
      <c r="AC2" s="306"/>
      <c r="AD2" s="306"/>
      <c r="AE2" s="306"/>
      <c r="AF2" s="307"/>
      <c r="AG2" s="308"/>
      <c r="AH2" s="308"/>
      <c r="AI2" s="308"/>
    </row>
    <row r="3" spans="1:35" ht="14.25">
      <c r="A3" s="18" t="s">
        <v>274</v>
      </c>
      <c r="F3" s="30"/>
      <c r="G3" s="30"/>
      <c r="H3" s="30"/>
      <c r="I3" s="30"/>
      <c r="J3" s="30"/>
      <c r="K3" s="30"/>
      <c r="L3" s="30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.75">
      <c r="A4" s="310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311"/>
      <c r="AD4" s="312"/>
      <c r="AE4" s="312"/>
      <c r="AF4" s="312"/>
      <c r="AG4" s="312"/>
      <c r="AH4" s="312"/>
      <c r="AI4" s="313"/>
    </row>
    <row r="5" spans="1:35" ht="103.5">
      <c r="A5" s="314" t="s">
        <v>62</v>
      </c>
      <c r="B5" s="314" t="s">
        <v>63</v>
      </c>
      <c r="C5" s="315" t="s">
        <v>275</v>
      </c>
      <c r="D5" s="316" t="s">
        <v>276</v>
      </c>
      <c r="E5" s="316" t="s">
        <v>277</v>
      </c>
      <c r="F5" s="317" t="s">
        <v>278</v>
      </c>
      <c r="G5" s="317" t="s">
        <v>279</v>
      </c>
      <c r="H5" s="317" t="s">
        <v>280</v>
      </c>
      <c r="I5" s="317" t="s">
        <v>281</v>
      </c>
      <c r="J5" s="317" t="s">
        <v>282</v>
      </c>
      <c r="K5" s="317" t="s">
        <v>283</v>
      </c>
      <c r="L5" s="318" t="s">
        <v>284</v>
      </c>
      <c r="M5" s="317" t="s">
        <v>285</v>
      </c>
      <c r="N5" s="317" t="s">
        <v>286</v>
      </c>
      <c r="O5" s="317" t="s">
        <v>287</v>
      </c>
      <c r="P5" s="317" t="s">
        <v>288</v>
      </c>
      <c r="Q5" s="317" t="s">
        <v>289</v>
      </c>
      <c r="R5" s="317" t="s">
        <v>290</v>
      </c>
      <c r="S5" s="317" t="s">
        <v>291</v>
      </c>
      <c r="T5" s="317" t="s">
        <v>327</v>
      </c>
      <c r="U5" s="317" t="s">
        <v>292</v>
      </c>
      <c r="V5" s="317" t="s">
        <v>293</v>
      </c>
      <c r="W5" s="317" t="s">
        <v>294</v>
      </c>
      <c r="X5" s="317" t="s">
        <v>295</v>
      </c>
      <c r="Y5" s="317" t="s">
        <v>296</v>
      </c>
      <c r="Z5" s="317" t="s">
        <v>297</v>
      </c>
      <c r="AA5" s="317" t="s">
        <v>298</v>
      </c>
      <c r="AB5" s="317" t="s">
        <v>299</v>
      </c>
      <c r="AC5" s="317" t="s">
        <v>328</v>
      </c>
      <c r="AD5" s="317" t="s">
        <v>300</v>
      </c>
      <c r="AE5" s="317" t="s">
        <v>301</v>
      </c>
      <c r="AF5" s="317" t="s">
        <v>302</v>
      </c>
      <c r="AG5" s="317" t="s">
        <v>303</v>
      </c>
      <c r="AH5" s="317" t="s">
        <v>304</v>
      </c>
      <c r="AI5" s="319" t="s">
        <v>124</v>
      </c>
    </row>
    <row r="6" spans="1:35" ht="12.75">
      <c r="A6" s="269">
        <v>1</v>
      </c>
      <c r="B6" s="270"/>
      <c r="C6" s="320"/>
      <c r="D6" s="321"/>
      <c r="E6" s="321"/>
      <c r="F6" s="322">
        <v>2111</v>
      </c>
      <c r="G6" s="322">
        <v>2121</v>
      </c>
      <c r="H6" s="323">
        <v>2211</v>
      </c>
      <c r="I6" s="322">
        <v>2212</v>
      </c>
      <c r="J6" s="322">
        <v>2213</v>
      </c>
      <c r="K6" s="322">
        <v>2214</v>
      </c>
      <c r="L6" s="324">
        <v>2215</v>
      </c>
      <c r="M6" s="322">
        <v>2217</v>
      </c>
      <c r="N6" s="322">
        <v>2218</v>
      </c>
      <c r="O6" s="322">
        <v>2221</v>
      </c>
      <c r="P6" s="322">
        <v>2222</v>
      </c>
      <c r="Q6" s="322">
        <v>2224</v>
      </c>
      <c r="R6" s="322">
        <v>2223</v>
      </c>
      <c r="S6" s="322">
        <v>2225</v>
      </c>
      <c r="T6" s="322">
        <v>2226</v>
      </c>
      <c r="U6" s="322">
        <v>2231</v>
      </c>
      <c r="V6" s="322">
        <v>2232</v>
      </c>
      <c r="W6" s="322">
        <v>2233</v>
      </c>
      <c r="X6" s="322">
        <v>2234</v>
      </c>
      <c r="Y6" s="322">
        <v>2235</v>
      </c>
      <c r="Z6" s="322">
        <v>2511</v>
      </c>
      <c r="AA6" s="322">
        <v>2512</v>
      </c>
      <c r="AB6" s="322">
        <v>2821</v>
      </c>
      <c r="AC6" s="322">
        <v>2828</v>
      </c>
      <c r="AD6" s="322">
        <v>3111</v>
      </c>
      <c r="AE6" s="322">
        <v>3112</v>
      </c>
      <c r="AF6" s="322">
        <v>3113</v>
      </c>
      <c r="AG6" s="322">
        <v>3214</v>
      </c>
      <c r="AH6" s="322">
        <v>3215</v>
      </c>
      <c r="AI6" s="325"/>
    </row>
    <row r="7" spans="1:35" ht="25.5">
      <c r="A7" s="276">
        <v>1</v>
      </c>
      <c r="B7" s="277">
        <v>1</v>
      </c>
      <c r="C7" s="326" t="s">
        <v>305</v>
      </c>
      <c r="D7" s="327" t="s">
        <v>332</v>
      </c>
      <c r="E7" s="328"/>
      <c r="F7" s="329"/>
      <c r="G7" s="329"/>
      <c r="H7" s="330"/>
      <c r="I7" s="329"/>
      <c r="J7" s="329"/>
      <c r="K7" s="329"/>
      <c r="L7" s="331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3"/>
      <c r="AC7" s="333"/>
      <c r="AD7" s="333"/>
      <c r="AE7" s="333"/>
      <c r="AF7" s="333"/>
      <c r="AG7" s="333"/>
      <c r="AH7" s="333"/>
      <c r="AI7" s="334">
        <f aca="true" t="shared" si="0" ref="AI7:AI42">SUM(F7:AH7)</f>
        <v>0</v>
      </c>
    </row>
    <row r="8" spans="1:35" s="337" customFormat="1" ht="12.75">
      <c r="A8" s="280">
        <v>1</v>
      </c>
      <c r="B8" s="281">
        <v>2</v>
      </c>
      <c r="C8" s="282" t="s">
        <v>150</v>
      </c>
      <c r="D8" s="335"/>
      <c r="E8" s="335"/>
      <c r="F8" s="336">
        <v>200</v>
      </c>
      <c r="G8" s="336">
        <v>34.5</v>
      </c>
      <c r="H8" s="336"/>
      <c r="I8" s="336"/>
      <c r="J8" s="336"/>
      <c r="K8" s="336"/>
      <c r="L8" s="336">
        <v>10265.5</v>
      </c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4">
        <f t="shared" si="0"/>
        <v>10500</v>
      </c>
    </row>
    <row r="9" spans="1:35" ht="51">
      <c r="A9" s="276">
        <v>1</v>
      </c>
      <c r="B9" s="283">
        <v>3</v>
      </c>
      <c r="C9" s="284" t="s">
        <v>151</v>
      </c>
      <c r="D9" s="338" t="s">
        <v>307</v>
      </c>
      <c r="E9" s="339"/>
      <c r="F9" s="340"/>
      <c r="G9" s="340"/>
      <c r="H9" s="340"/>
      <c r="I9" s="340"/>
      <c r="J9" s="340"/>
      <c r="K9" s="340"/>
      <c r="L9" s="341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34">
        <f t="shared" si="0"/>
        <v>0</v>
      </c>
    </row>
    <row r="10" spans="1:35" ht="25.5">
      <c r="A10" s="276">
        <v>1</v>
      </c>
      <c r="B10" s="283">
        <v>4</v>
      </c>
      <c r="C10" s="284" t="s">
        <v>153</v>
      </c>
      <c r="D10" s="342" t="s">
        <v>308</v>
      </c>
      <c r="E10" s="339"/>
      <c r="F10" s="340"/>
      <c r="G10" s="340"/>
      <c r="H10" s="340"/>
      <c r="I10" s="340"/>
      <c r="J10" s="340"/>
      <c r="K10" s="340"/>
      <c r="L10" s="341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34">
        <f t="shared" si="0"/>
        <v>0</v>
      </c>
    </row>
    <row r="11" spans="1:35" ht="25.5">
      <c r="A11" s="276">
        <v>1</v>
      </c>
      <c r="B11" s="283">
        <v>5</v>
      </c>
      <c r="C11" s="284" t="s">
        <v>155</v>
      </c>
      <c r="D11" s="342" t="s">
        <v>309</v>
      </c>
      <c r="E11" s="339"/>
      <c r="F11" s="340"/>
      <c r="G11" s="340"/>
      <c r="H11" s="340"/>
      <c r="I11" s="340"/>
      <c r="J11" s="340"/>
      <c r="K11" s="340"/>
      <c r="L11" s="341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34">
        <f t="shared" si="0"/>
        <v>0</v>
      </c>
    </row>
    <row r="12" spans="1:35" ht="38.25">
      <c r="A12" s="276">
        <v>1</v>
      </c>
      <c r="B12" s="285">
        <v>6</v>
      </c>
      <c r="C12" s="284" t="s">
        <v>157</v>
      </c>
      <c r="D12" s="338" t="s">
        <v>310</v>
      </c>
      <c r="E12" s="339"/>
      <c r="F12" s="340"/>
      <c r="G12" s="340"/>
      <c r="H12" s="340"/>
      <c r="I12" s="340"/>
      <c r="J12" s="340"/>
      <c r="K12" s="340"/>
      <c r="L12" s="341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34">
        <f t="shared" si="0"/>
        <v>0</v>
      </c>
    </row>
    <row r="13" spans="1:35" ht="12.75">
      <c r="A13" s="276">
        <v>1</v>
      </c>
      <c r="B13" s="285">
        <v>7</v>
      </c>
      <c r="C13" s="343" t="s">
        <v>311</v>
      </c>
      <c r="D13" s="288"/>
      <c r="E13" s="344"/>
      <c r="F13" s="345"/>
      <c r="G13" s="345"/>
      <c r="H13" s="345"/>
      <c r="I13" s="345"/>
      <c r="J13" s="345"/>
      <c r="K13" s="345"/>
      <c r="L13" s="346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34">
        <f t="shared" si="0"/>
        <v>0</v>
      </c>
    </row>
    <row r="14" spans="1:35" ht="28.5">
      <c r="A14" s="276">
        <v>1</v>
      </c>
      <c r="B14" s="285">
        <v>8</v>
      </c>
      <c r="C14" s="287" t="s">
        <v>64</v>
      </c>
      <c r="D14" s="86" t="s">
        <v>67</v>
      </c>
      <c r="E14" s="339"/>
      <c r="F14" s="340"/>
      <c r="G14" s="340"/>
      <c r="H14" s="340"/>
      <c r="I14" s="340"/>
      <c r="J14" s="340"/>
      <c r="K14" s="340"/>
      <c r="L14" s="341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34">
        <f t="shared" si="0"/>
        <v>0</v>
      </c>
    </row>
    <row r="15" spans="1:35" s="337" customFormat="1" ht="28.5">
      <c r="A15" s="280">
        <v>1</v>
      </c>
      <c r="B15" s="289">
        <v>9</v>
      </c>
      <c r="C15" s="347" t="s">
        <v>65</v>
      </c>
      <c r="D15" s="86" t="s">
        <v>68</v>
      </c>
      <c r="E15" s="335"/>
      <c r="F15" s="341">
        <v>1501.9</v>
      </c>
      <c r="G15" s="341">
        <v>259.1</v>
      </c>
      <c r="H15" s="341">
        <v>245.5</v>
      </c>
      <c r="I15" s="341">
        <v>57.5</v>
      </c>
      <c r="J15" s="341">
        <v>120</v>
      </c>
      <c r="K15" s="341">
        <v>35</v>
      </c>
      <c r="L15" s="341">
        <v>1000</v>
      </c>
      <c r="M15" s="341"/>
      <c r="N15" s="341"/>
      <c r="O15" s="341">
        <v>114</v>
      </c>
      <c r="P15" s="341">
        <v>174.6</v>
      </c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>
        <v>1001.8</v>
      </c>
      <c r="AF15" s="341"/>
      <c r="AG15" s="341"/>
      <c r="AH15" s="341"/>
      <c r="AI15" s="349">
        <f t="shared" si="0"/>
        <v>4509.4</v>
      </c>
    </row>
    <row r="16" spans="1:35" ht="51">
      <c r="A16" s="276">
        <v>1</v>
      </c>
      <c r="B16" s="285">
        <v>10</v>
      </c>
      <c r="C16" s="249" t="s">
        <v>158</v>
      </c>
      <c r="D16" s="342" t="s">
        <v>312</v>
      </c>
      <c r="E16" s="339"/>
      <c r="F16" s="340"/>
      <c r="G16" s="340"/>
      <c r="H16" s="340"/>
      <c r="I16" s="340"/>
      <c r="J16" s="340"/>
      <c r="K16" s="340"/>
      <c r="L16" s="341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34">
        <f t="shared" si="0"/>
        <v>0</v>
      </c>
    </row>
    <row r="17" spans="1:35" ht="12.75">
      <c r="A17" s="276">
        <v>1</v>
      </c>
      <c r="B17" s="285"/>
      <c r="C17" s="249" t="s">
        <v>41</v>
      </c>
      <c r="D17" s="350" t="s">
        <v>42</v>
      </c>
      <c r="E17" s="339"/>
      <c r="F17" s="340"/>
      <c r="G17" s="340"/>
      <c r="H17" s="340"/>
      <c r="I17" s="340"/>
      <c r="J17" s="340"/>
      <c r="K17" s="340"/>
      <c r="L17" s="341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34">
        <f t="shared" si="0"/>
        <v>0</v>
      </c>
    </row>
    <row r="18" spans="1:35" ht="25.5">
      <c r="A18" s="276">
        <v>2</v>
      </c>
      <c r="B18" s="285">
        <v>1</v>
      </c>
      <c r="C18" s="250" t="s">
        <v>313</v>
      </c>
      <c r="D18" s="351" t="s">
        <v>314</v>
      </c>
      <c r="E18" s="335"/>
      <c r="F18" s="340"/>
      <c r="G18" s="340"/>
      <c r="H18" s="340"/>
      <c r="I18" s="340"/>
      <c r="J18" s="340"/>
      <c r="K18" s="340"/>
      <c r="L18" s="341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34">
        <f t="shared" si="0"/>
        <v>0</v>
      </c>
    </row>
    <row r="19" spans="1:35" ht="38.25">
      <c r="A19" s="276">
        <v>2</v>
      </c>
      <c r="B19" s="285">
        <v>2</v>
      </c>
      <c r="C19" s="252" t="s">
        <v>164</v>
      </c>
      <c r="D19" s="338" t="s">
        <v>314</v>
      </c>
      <c r="E19" s="339"/>
      <c r="F19" s="340"/>
      <c r="G19" s="340"/>
      <c r="H19" s="340"/>
      <c r="I19" s="340"/>
      <c r="J19" s="340"/>
      <c r="K19" s="340"/>
      <c r="L19" s="341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34">
        <f t="shared" si="0"/>
        <v>0</v>
      </c>
    </row>
    <row r="20" spans="1:35" s="337" customFormat="1" ht="25.5">
      <c r="A20" s="280">
        <v>2</v>
      </c>
      <c r="B20" s="289">
        <v>3</v>
      </c>
      <c r="C20" s="252" t="s">
        <v>172</v>
      </c>
      <c r="D20" s="352" t="s">
        <v>314</v>
      </c>
      <c r="E20" s="348"/>
      <c r="F20" s="341">
        <v>61.2</v>
      </c>
      <c r="G20" s="341">
        <v>10.5</v>
      </c>
      <c r="H20" s="341"/>
      <c r="I20" s="341"/>
      <c r="J20" s="341"/>
      <c r="K20" s="341"/>
      <c r="L20" s="341">
        <f>518-84</f>
        <v>434</v>
      </c>
      <c r="M20" s="341"/>
      <c r="N20" s="341">
        <v>10500</v>
      </c>
      <c r="O20" s="341">
        <v>90.6</v>
      </c>
      <c r="P20" s="341">
        <v>186.7</v>
      </c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9">
        <f t="shared" si="0"/>
        <v>11283.000000000002</v>
      </c>
    </row>
    <row r="21" spans="1:35" ht="25.5">
      <c r="A21" s="276">
        <v>2</v>
      </c>
      <c r="B21" s="285">
        <v>4</v>
      </c>
      <c r="C21" s="252" t="s">
        <v>177</v>
      </c>
      <c r="D21" s="338" t="s">
        <v>314</v>
      </c>
      <c r="E21" s="339"/>
      <c r="F21" s="340"/>
      <c r="G21" s="340"/>
      <c r="H21" s="340"/>
      <c r="I21" s="340"/>
      <c r="J21" s="340"/>
      <c r="K21" s="340"/>
      <c r="L21" s="341">
        <v>84</v>
      </c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34">
        <f t="shared" si="0"/>
        <v>84</v>
      </c>
    </row>
    <row r="22" spans="1:35" ht="25.5">
      <c r="A22" s="276">
        <v>2</v>
      </c>
      <c r="B22" s="285">
        <v>5</v>
      </c>
      <c r="C22" s="252" t="s">
        <v>180</v>
      </c>
      <c r="D22" s="338" t="s">
        <v>314</v>
      </c>
      <c r="E22" s="339"/>
      <c r="F22" s="340"/>
      <c r="G22" s="340"/>
      <c r="H22" s="340"/>
      <c r="I22" s="340"/>
      <c r="J22" s="340"/>
      <c r="K22" s="340"/>
      <c r="L22" s="341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34">
        <f t="shared" si="0"/>
        <v>0</v>
      </c>
    </row>
    <row r="23" spans="1:37" ht="25.5">
      <c r="A23" s="276">
        <v>3</v>
      </c>
      <c r="B23" s="285">
        <v>1</v>
      </c>
      <c r="C23" s="253" t="s">
        <v>315</v>
      </c>
      <c r="D23" s="351" t="s">
        <v>314</v>
      </c>
      <c r="E23" s="339"/>
      <c r="F23" s="340"/>
      <c r="G23" s="340"/>
      <c r="H23" s="340"/>
      <c r="I23" s="340"/>
      <c r="J23" s="340"/>
      <c r="K23" s="340"/>
      <c r="L23" s="341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34">
        <f t="shared" si="0"/>
        <v>0</v>
      </c>
      <c r="AK23" s="353"/>
    </row>
    <row r="24" spans="1:37" ht="38.25">
      <c r="A24" s="276">
        <v>3</v>
      </c>
      <c r="B24" s="285">
        <v>2</v>
      </c>
      <c r="C24" s="252" t="s">
        <v>187</v>
      </c>
      <c r="D24" s="338" t="s">
        <v>189</v>
      </c>
      <c r="E24" s="339"/>
      <c r="F24" s="340">
        <f>10823.5-69.5</f>
        <v>10754</v>
      </c>
      <c r="G24" s="340">
        <f>1867-14.5</f>
        <v>1852.5</v>
      </c>
      <c r="H24" s="340">
        <v>1011.8</v>
      </c>
      <c r="I24" s="340">
        <v>578</v>
      </c>
      <c r="J24" s="340">
        <v>115.8</v>
      </c>
      <c r="K24" s="340">
        <v>1554.6</v>
      </c>
      <c r="L24" s="341">
        <v>8786.7</v>
      </c>
      <c r="M24" s="340">
        <f>30+8+70.1</f>
        <v>108.1</v>
      </c>
      <c r="N24" s="340">
        <v>7724.5</v>
      </c>
      <c r="O24" s="340">
        <v>2447.6</v>
      </c>
      <c r="P24" s="340">
        <v>5935.7</v>
      </c>
      <c r="Q24" s="340"/>
      <c r="R24" s="340">
        <v>180.8</v>
      </c>
      <c r="S24" s="340">
        <v>175</v>
      </c>
      <c r="T24" s="340"/>
      <c r="U24" s="340">
        <f>9+6</f>
        <v>15</v>
      </c>
      <c r="V24" s="340">
        <v>70</v>
      </c>
      <c r="W24" s="340">
        <v>250</v>
      </c>
      <c r="X24" s="340"/>
      <c r="Y24" s="340">
        <v>60</v>
      </c>
      <c r="Z24" s="340"/>
      <c r="AA24" s="340"/>
      <c r="AB24" s="340">
        <v>12</v>
      </c>
      <c r="AC24" s="340"/>
      <c r="AD24" s="340">
        <v>2023.6</v>
      </c>
      <c r="AE24" s="340">
        <v>2698.1</v>
      </c>
      <c r="AF24" s="340">
        <v>15</v>
      </c>
      <c r="AG24" s="340"/>
      <c r="AH24" s="340"/>
      <c r="AI24" s="334">
        <f t="shared" si="0"/>
        <v>46368.799999999996</v>
      </c>
      <c r="AK24" s="353"/>
    </row>
    <row r="25" spans="1:37" ht="38.25">
      <c r="A25" s="276">
        <v>3</v>
      </c>
      <c r="B25" s="285">
        <v>3</v>
      </c>
      <c r="C25" s="252" t="s">
        <v>193</v>
      </c>
      <c r="D25" s="338" t="s">
        <v>189</v>
      </c>
      <c r="E25" s="339"/>
      <c r="F25" s="340">
        <v>69.5</v>
      </c>
      <c r="G25" s="340">
        <v>14.5</v>
      </c>
      <c r="H25" s="340"/>
      <c r="I25" s="340"/>
      <c r="J25" s="340"/>
      <c r="K25" s="340"/>
      <c r="L25" s="341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34">
        <f t="shared" si="0"/>
        <v>84</v>
      </c>
      <c r="AK25" s="353"/>
    </row>
    <row r="26" spans="1:35" ht="25.5">
      <c r="A26" s="276">
        <v>3</v>
      </c>
      <c r="B26" s="285">
        <v>4</v>
      </c>
      <c r="C26" s="252" t="s">
        <v>196</v>
      </c>
      <c r="D26" s="338" t="s">
        <v>314</v>
      </c>
      <c r="E26" s="339"/>
      <c r="F26" s="340"/>
      <c r="G26" s="340"/>
      <c r="H26" s="340"/>
      <c r="I26" s="340"/>
      <c r="J26" s="340"/>
      <c r="K26" s="340"/>
      <c r="L26" s="341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34">
        <f t="shared" si="0"/>
        <v>0</v>
      </c>
    </row>
    <row r="27" spans="1:35" ht="38.25">
      <c r="A27" s="276">
        <v>3</v>
      </c>
      <c r="B27" s="285">
        <v>5</v>
      </c>
      <c r="C27" s="254" t="s">
        <v>201</v>
      </c>
      <c r="D27" s="338" t="s">
        <v>314</v>
      </c>
      <c r="E27" s="339"/>
      <c r="F27" s="340"/>
      <c r="G27" s="340"/>
      <c r="H27" s="340"/>
      <c r="I27" s="340"/>
      <c r="J27" s="340"/>
      <c r="K27" s="340"/>
      <c r="L27" s="341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34">
        <f t="shared" si="0"/>
        <v>0</v>
      </c>
    </row>
    <row r="28" spans="1:35" ht="38.25">
      <c r="A28" s="276">
        <v>3</v>
      </c>
      <c r="B28" s="285">
        <v>6</v>
      </c>
      <c r="C28" s="252" t="s">
        <v>205</v>
      </c>
      <c r="D28" s="338" t="s">
        <v>314</v>
      </c>
      <c r="E28" s="339"/>
      <c r="F28" s="340"/>
      <c r="G28" s="340"/>
      <c r="H28" s="340"/>
      <c r="I28" s="340"/>
      <c r="J28" s="340"/>
      <c r="K28" s="340"/>
      <c r="L28" s="341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34">
        <f t="shared" si="0"/>
        <v>0</v>
      </c>
    </row>
    <row r="29" spans="1:37" ht="12.75">
      <c r="A29" s="276">
        <v>4</v>
      </c>
      <c r="B29" s="285">
        <v>1</v>
      </c>
      <c r="C29" s="253" t="s">
        <v>316</v>
      </c>
      <c r="D29" s="354" t="s">
        <v>207</v>
      </c>
      <c r="E29" s="339"/>
      <c r="Q29" s="340"/>
      <c r="R29" s="340"/>
      <c r="AG29" s="340"/>
      <c r="AH29" s="340"/>
      <c r="AI29" s="334">
        <f t="shared" si="0"/>
        <v>0</v>
      </c>
      <c r="AJ29" s="353"/>
      <c r="AK29" s="353"/>
    </row>
    <row r="30" spans="1:35" ht="38.25">
      <c r="A30" s="276">
        <v>4</v>
      </c>
      <c r="B30" s="285">
        <v>2</v>
      </c>
      <c r="C30" s="252" t="s">
        <v>209</v>
      </c>
      <c r="D30" s="338" t="s">
        <v>207</v>
      </c>
      <c r="E30" s="339"/>
      <c r="F30" s="340"/>
      <c r="G30" s="340"/>
      <c r="H30" s="340"/>
      <c r="I30" s="340"/>
      <c r="J30" s="340"/>
      <c r="K30" s="340"/>
      <c r="L30" s="341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34">
        <f>SUM(F30:AH30)</f>
        <v>0</v>
      </c>
    </row>
    <row r="31" spans="1:35" ht="51">
      <c r="A31" s="276">
        <v>4</v>
      </c>
      <c r="B31" s="285">
        <v>3</v>
      </c>
      <c r="C31" s="252" t="s">
        <v>212</v>
      </c>
      <c r="D31" s="338" t="s">
        <v>317</v>
      </c>
      <c r="E31" s="339"/>
      <c r="F31" s="340">
        <v>157.8</v>
      </c>
      <c r="G31" s="340">
        <v>27.2</v>
      </c>
      <c r="H31" s="340"/>
      <c r="I31" s="340"/>
      <c r="J31" s="340"/>
      <c r="K31" s="340"/>
      <c r="L31" s="341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34">
        <f t="shared" si="0"/>
        <v>185</v>
      </c>
    </row>
    <row r="32" spans="1:37" ht="38.25">
      <c r="A32" s="276">
        <v>4</v>
      </c>
      <c r="B32" s="285">
        <v>5</v>
      </c>
      <c r="C32" s="252" t="s">
        <v>216</v>
      </c>
      <c r="D32" s="338" t="s">
        <v>317</v>
      </c>
      <c r="E32" s="339"/>
      <c r="F32" s="340">
        <f>2023+89518.9-157.8-157.8</f>
        <v>91226.29999999999</v>
      </c>
      <c r="G32" s="340">
        <f>349+15442-27.2-27.2</f>
        <v>15736.599999999999</v>
      </c>
      <c r="H32" s="340">
        <f>95+2132.4</f>
        <v>2227.4</v>
      </c>
      <c r="I32" s="340">
        <f>47.9+1418.6</f>
        <v>1466.5</v>
      </c>
      <c r="J32" s="340">
        <v>150</v>
      </c>
      <c r="K32" s="340">
        <f>20+2435.8</f>
        <v>2455.8</v>
      </c>
      <c r="L32" s="341">
        <f>138+7000</f>
        <v>7138</v>
      </c>
      <c r="M32" s="355">
        <v>134</v>
      </c>
      <c r="N32" s="340">
        <v>280</v>
      </c>
      <c r="O32" s="340">
        <f>736+8545.6</f>
        <v>9281.6</v>
      </c>
      <c r="P32" s="340">
        <f>816.3+9057.9</f>
        <v>9874.199999999999</v>
      </c>
      <c r="Q32" s="340"/>
      <c r="R32" s="340"/>
      <c r="S32" s="340">
        <v>165</v>
      </c>
      <c r="T32" s="340"/>
      <c r="U32" s="340">
        <f>13.9+1530</f>
        <v>1543.9</v>
      </c>
      <c r="V32" s="340">
        <f>300+5500</f>
        <v>5800</v>
      </c>
      <c r="W32" s="340">
        <v>3750</v>
      </c>
      <c r="X32" s="340">
        <f>61</f>
        <v>61</v>
      </c>
      <c r="Y32" s="340">
        <v>60</v>
      </c>
      <c r="Z32" s="340"/>
      <c r="AA32" s="340"/>
      <c r="AB32" s="340">
        <v>125</v>
      </c>
      <c r="AC32" s="340"/>
      <c r="AD32" s="340">
        <v>6410</v>
      </c>
      <c r="AE32" s="340">
        <f>1061.3+11656.9</f>
        <v>12718.199999999999</v>
      </c>
      <c r="AF32" s="340">
        <v>185</v>
      </c>
      <c r="AG32" s="340"/>
      <c r="AH32" s="340"/>
      <c r="AI32" s="334">
        <f t="shared" si="0"/>
        <v>170788.5</v>
      </c>
      <c r="AJ32" s="353"/>
      <c r="AK32" s="353"/>
    </row>
    <row r="33" spans="1:37" ht="12.75">
      <c r="A33" s="276">
        <v>4</v>
      </c>
      <c r="B33" s="285">
        <v>6</v>
      </c>
      <c r="C33" s="254" t="s">
        <v>219</v>
      </c>
      <c r="D33" s="338" t="s">
        <v>207</v>
      </c>
      <c r="E33" s="339"/>
      <c r="F33" s="340">
        <v>157.8</v>
      </c>
      <c r="G33" s="340">
        <v>27.2</v>
      </c>
      <c r="H33" s="340"/>
      <c r="I33" s="340"/>
      <c r="J33" s="340"/>
      <c r="K33" s="340"/>
      <c r="L33" s="341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34">
        <f t="shared" si="0"/>
        <v>185</v>
      </c>
      <c r="AK33" s="353"/>
    </row>
    <row r="34" spans="1:36" s="337" customFormat="1" ht="12.75">
      <c r="A34" s="280">
        <v>5</v>
      </c>
      <c r="B34" s="289">
        <v>1</v>
      </c>
      <c r="C34" s="253" t="s">
        <v>318</v>
      </c>
      <c r="D34" s="354" t="s">
        <v>207</v>
      </c>
      <c r="E34" s="348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9">
        <f t="shared" si="0"/>
        <v>0</v>
      </c>
      <c r="AJ34" s="357">
        <v>0</v>
      </c>
    </row>
    <row r="35" spans="1:35" ht="38.25">
      <c r="A35" s="276">
        <v>5</v>
      </c>
      <c r="B35" s="285">
        <v>2</v>
      </c>
      <c r="C35" s="252" t="s">
        <v>221</v>
      </c>
      <c r="D35" s="338" t="s">
        <v>317</v>
      </c>
      <c r="E35" s="339"/>
      <c r="F35" s="340">
        <v>1137162.5</v>
      </c>
      <c r="G35" s="340">
        <v>196160.8</v>
      </c>
      <c r="H35" s="340"/>
      <c r="I35" s="340">
        <v>17642.5</v>
      </c>
      <c r="J35" s="340">
        <v>3983.4</v>
      </c>
      <c r="K35" s="340"/>
      <c r="L35" s="341">
        <f>91802-25000</f>
        <v>66802</v>
      </c>
      <c r="M35" s="340">
        <v>783.2</v>
      </c>
      <c r="N35" s="340">
        <v>5262.5</v>
      </c>
      <c r="O35" s="340">
        <f>75930.3-5000</f>
        <v>70930.3</v>
      </c>
      <c r="P35" s="340">
        <f>100000-5000</f>
        <v>95000</v>
      </c>
      <c r="Q35" s="340">
        <v>1056</v>
      </c>
      <c r="R35" s="340">
        <v>840</v>
      </c>
      <c r="S35" s="340">
        <v>5500</v>
      </c>
      <c r="T35" s="340">
        <v>65</v>
      </c>
      <c r="U35" s="340">
        <f>18550-5500</f>
        <v>13050</v>
      </c>
      <c r="V35" s="340">
        <f>46000-4854.9</f>
        <v>41145.1</v>
      </c>
      <c r="W35" s="340">
        <f>48500-4854.9</f>
        <v>43645.1</v>
      </c>
      <c r="X35" s="340">
        <v>9550</v>
      </c>
      <c r="Y35" s="340">
        <v>1850</v>
      </c>
      <c r="Z35" s="340"/>
      <c r="AA35" s="340"/>
      <c r="AB35" s="340">
        <v>140</v>
      </c>
      <c r="AC35" s="340">
        <v>50</v>
      </c>
      <c r="AD35" s="340">
        <v>155662.2</v>
      </c>
      <c r="AE35" s="340">
        <f>103052.3+2395.5</f>
        <v>105447.8</v>
      </c>
      <c r="AF35" s="340">
        <v>2195.5</v>
      </c>
      <c r="AG35" s="340"/>
      <c r="AH35" s="340"/>
      <c r="AI35" s="334">
        <f>SUM(F35:AH35)</f>
        <v>1973923.9000000001</v>
      </c>
    </row>
    <row r="36" spans="1:35" ht="25.5">
      <c r="A36" s="276">
        <v>5</v>
      </c>
      <c r="B36" s="285">
        <v>3</v>
      </c>
      <c r="C36" s="252" t="s">
        <v>225</v>
      </c>
      <c r="D36" s="338" t="s">
        <v>207</v>
      </c>
      <c r="E36" s="339"/>
      <c r="F36" s="340"/>
      <c r="G36" s="340"/>
      <c r="H36" s="340">
        <v>25000</v>
      </c>
      <c r="I36" s="340"/>
      <c r="J36" s="340"/>
      <c r="K36" s="340">
        <v>16255</v>
      </c>
      <c r="L36" s="341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34">
        <f t="shared" si="0"/>
        <v>41255</v>
      </c>
    </row>
    <row r="37" spans="1:35" ht="12.75">
      <c r="A37" s="276">
        <v>6</v>
      </c>
      <c r="B37" s="285">
        <v>1</v>
      </c>
      <c r="C37" s="253" t="s">
        <v>319</v>
      </c>
      <c r="D37" s="354" t="s">
        <v>207</v>
      </c>
      <c r="E37" s="339"/>
      <c r="F37" s="340"/>
      <c r="G37" s="340"/>
      <c r="H37" s="340"/>
      <c r="I37" s="340"/>
      <c r="J37" s="340"/>
      <c r="K37" s="340"/>
      <c r="L37" s="341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34">
        <f t="shared" si="0"/>
        <v>0</v>
      </c>
    </row>
    <row r="38" spans="1:35" ht="38.25">
      <c r="A38" s="276">
        <v>6</v>
      </c>
      <c r="B38" s="285">
        <v>2</v>
      </c>
      <c r="C38" s="252" t="s">
        <v>227</v>
      </c>
      <c r="D38" s="338" t="s">
        <v>314</v>
      </c>
      <c r="E38" s="339"/>
      <c r="F38" s="340"/>
      <c r="G38" s="340"/>
      <c r="H38" s="340"/>
      <c r="I38" s="340"/>
      <c r="J38" s="340"/>
      <c r="K38" s="340"/>
      <c r="L38" s="341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34">
        <f t="shared" si="0"/>
        <v>0</v>
      </c>
    </row>
    <row r="39" spans="1:36" ht="25.5">
      <c r="A39" s="276">
        <v>6</v>
      </c>
      <c r="B39" s="285">
        <v>3</v>
      </c>
      <c r="C39" s="252" t="s">
        <v>232</v>
      </c>
      <c r="D39" s="338" t="s">
        <v>207</v>
      </c>
      <c r="E39" s="339"/>
      <c r="F39" s="340">
        <v>168.6</v>
      </c>
      <c r="G39" s="340">
        <v>29.1</v>
      </c>
      <c r="H39" s="340">
        <f>109+16</f>
        <v>125</v>
      </c>
      <c r="I39" s="340">
        <v>30</v>
      </c>
      <c r="J39" s="340"/>
      <c r="K39" s="340">
        <v>50.2</v>
      </c>
      <c r="L39" s="341">
        <f>274+360.3</f>
        <v>634.3</v>
      </c>
      <c r="M39" s="340"/>
      <c r="N39" s="340"/>
      <c r="O39" s="340">
        <v>57.4</v>
      </c>
      <c r="P39" s="340">
        <f>308.5+6.6</f>
        <v>315.1</v>
      </c>
      <c r="Q39" s="340">
        <v>35</v>
      </c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>
        <f>359.5+58</f>
        <v>417.5</v>
      </c>
      <c r="AF39" s="340"/>
      <c r="AG39" s="340"/>
      <c r="AH39" s="340"/>
      <c r="AI39" s="334">
        <f t="shared" si="0"/>
        <v>1862.1999999999998</v>
      </c>
      <c r="AJ39" s="353"/>
    </row>
    <row r="40" spans="1:35" s="337" customFormat="1" ht="25.5">
      <c r="A40" s="280">
        <v>7</v>
      </c>
      <c r="B40" s="289">
        <v>1</v>
      </c>
      <c r="C40" s="253" t="s">
        <v>320</v>
      </c>
      <c r="D40" s="255" t="s">
        <v>235</v>
      </c>
      <c r="E40" s="348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9">
        <f t="shared" si="0"/>
        <v>0</v>
      </c>
    </row>
    <row r="41" spans="1:35" ht="13.5" thickBot="1">
      <c r="A41" s="276">
        <v>7</v>
      </c>
      <c r="B41" s="285">
        <v>2</v>
      </c>
      <c r="C41" s="252" t="s">
        <v>96</v>
      </c>
      <c r="D41" s="255" t="s">
        <v>235</v>
      </c>
      <c r="E41" s="339"/>
      <c r="F41" s="340"/>
      <c r="G41" s="340"/>
      <c r="H41" s="340"/>
      <c r="I41" s="340"/>
      <c r="J41" s="340"/>
      <c r="K41" s="340"/>
      <c r="L41" s="341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34">
        <f t="shared" si="0"/>
        <v>0</v>
      </c>
    </row>
    <row r="42" spans="1:35" ht="38.25">
      <c r="A42" s="276">
        <v>7</v>
      </c>
      <c r="B42" s="277">
        <v>3</v>
      </c>
      <c r="C42" s="252" t="s">
        <v>321</v>
      </c>
      <c r="D42" s="254" t="s">
        <v>235</v>
      </c>
      <c r="E42" s="358"/>
      <c r="F42" s="24">
        <v>440</v>
      </c>
      <c r="G42" s="24">
        <v>83.6</v>
      </c>
      <c r="H42" s="359">
        <v>120</v>
      </c>
      <c r="I42" s="359">
        <v>120</v>
      </c>
      <c r="J42" s="359"/>
      <c r="K42" s="359">
        <v>212</v>
      </c>
      <c r="L42" s="341">
        <v>734.4</v>
      </c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>
        <v>90</v>
      </c>
      <c r="AF42" s="359"/>
      <c r="AG42" s="359"/>
      <c r="AH42" s="359"/>
      <c r="AI42" s="360">
        <f t="shared" si="0"/>
        <v>1800</v>
      </c>
    </row>
    <row r="43" spans="1:35" ht="12.75">
      <c r="A43" s="344"/>
      <c r="B43" s="344"/>
      <c r="C43" s="344" t="s">
        <v>329</v>
      </c>
      <c r="D43" s="344"/>
      <c r="E43" s="344"/>
      <c r="F43" s="361">
        <f>SUM(F7:F42)</f>
        <v>1241899.6</v>
      </c>
      <c r="G43" s="361">
        <f>SUM(G7:G42)</f>
        <v>214235.6</v>
      </c>
      <c r="H43" s="361">
        <f aca="true" t="shared" si="1" ref="H43:AH43">SUM(H7:H42)</f>
        <v>28729.7</v>
      </c>
      <c r="I43" s="361">
        <f t="shared" si="1"/>
        <v>19894.5</v>
      </c>
      <c r="J43" s="361">
        <f t="shared" si="1"/>
        <v>4369.2</v>
      </c>
      <c r="K43" s="361">
        <f t="shared" si="1"/>
        <v>20562.600000000002</v>
      </c>
      <c r="L43" s="349">
        <f t="shared" si="1"/>
        <v>95878.9</v>
      </c>
      <c r="M43" s="361">
        <f t="shared" si="1"/>
        <v>1025.3</v>
      </c>
      <c r="N43" s="361">
        <f t="shared" si="1"/>
        <v>23767</v>
      </c>
      <c r="O43" s="361">
        <f t="shared" si="1"/>
        <v>82921.5</v>
      </c>
      <c r="P43" s="361">
        <f t="shared" si="1"/>
        <v>111486.3</v>
      </c>
      <c r="Q43" s="361">
        <f t="shared" si="1"/>
        <v>1091</v>
      </c>
      <c r="R43" s="361">
        <f t="shared" si="1"/>
        <v>1020.8</v>
      </c>
      <c r="S43" s="361">
        <f t="shared" si="1"/>
        <v>5840</v>
      </c>
      <c r="T43" s="361">
        <f t="shared" si="1"/>
        <v>65</v>
      </c>
      <c r="U43" s="361">
        <f t="shared" si="1"/>
        <v>14608.9</v>
      </c>
      <c r="V43" s="361">
        <f t="shared" si="1"/>
        <v>47015.1</v>
      </c>
      <c r="W43" s="361">
        <f t="shared" si="1"/>
        <v>47645.1</v>
      </c>
      <c r="X43" s="361">
        <f t="shared" si="1"/>
        <v>9611</v>
      </c>
      <c r="Y43" s="361">
        <f t="shared" si="1"/>
        <v>1970</v>
      </c>
      <c r="Z43" s="361">
        <f t="shared" si="1"/>
        <v>0</v>
      </c>
      <c r="AA43" s="361">
        <f t="shared" si="1"/>
        <v>0</v>
      </c>
      <c r="AB43" s="361">
        <f t="shared" si="1"/>
        <v>277</v>
      </c>
      <c r="AC43" s="361">
        <f t="shared" si="1"/>
        <v>50</v>
      </c>
      <c r="AD43" s="361">
        <f t="shared" si="1"/>
        <v>164095.80000000002</v>
      </c>
      <c r="AE43" s="361">
        <f t="shared" si="1"/>
        <v>122373.4</v>
      </c>
      <c r="AF43" s="361">
        <f t="shared" si="1"/>
        <v>2395.5</v>
      </c>
      <c r="AG43" s="361">
        <f t="shared" si="1"/>
        <v>0</v>
      </c>
      <c r="AH43" s="361">
        <f t="shared" si="1"/>
        <v>0</v>
      </c>
      <c r="AI43" s="361">
        <f>SUM(AI7:AI42)</f>
        <v>2262828.8000000003</v>
      </c>
    </row>
    <row r="44" spans="3:35" ht="12.75">
      <c r="C44" s="362"/>
      <c r="D44" s="362" t="s">
        <v>322</v>
      </c>
      <c r="E44" s="363"/>
      <c r="F44" s="364">
        <f>F43+G43</f>
        <v>1456135.2000000002</v>
      </c>
      <c r="G44" s="364">
        <f>AD43+AE43+AF43</f>
        <v>288864.7</v>
      </c>
      <c r="H44" s="364">
        <v>1209674.6</v>
      </c>
      <c r="I44" s="364">
        <v>175568.1</v>
      </c>
      <c r="J44" s="365"/>
      <c r="K44" s="366"/>
      <c r="L44" s="367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I44" s="366"/>
    </row>
    <row r="45" spans="3:35" ht="12.75">
      <c r="C45" s="362"/>
      <c r="D45" s="362" t="s">
        <v>323</v>
      </c>
      <c r="E45" s="363"/>
      <c r="F45" s="364"/>
      <c r="G45" s="364"/>
      <c r="H45" s="364"/>
      <c r="I45" s="364"/>
      <c r="J45" s="365"/>
      <c r="K45" s="366"/>
      <c r="L45" s="367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I45" s="366"/>
    </row>
    <row r="46" spans="3:10" ht="12.75">
      <c r="C46" s="362"/>
      <c r="D46" s="362"/>
      <c r="E46" s="362"/>
      <c r="F46" s="368"/>
      <c r="G46" s="369"/>
      <c r="H46" s="364"/>
      <c r="I46" s="368"/>
      <c r="J46" s="370"/>
    </row>
    <row r="47" spans="3:12" ht="12.75">
      <c r="C47" s="362"/>
      <c r="D47" s="362"/>
      <c r="E47" s="362"/>
      <c r="F47" s="368"/>
      <c r="G47" s="368" t="s">
        <v>325</v>
      </c>
      <c r="H47" s="364">
        <f>AD43+AE43</f>
        <v>286469.2</v>
      </c>
      <c r="I47" s="368"/>
      <c r="J47" s="371"/>
      <c r="L47" s="367"/>
    </row>
  </sheetData>
  <sheetProtection/>
  <mergeCells count="1">
    <mergeCell ref="C4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20">
      <selection activeCell="G25" sqref="G25:G28"/>
    </sheetView>
  </sheetViews>
  <sheetFormatPr defaultColWidth="9.140625" defaultRowHeight="12.75" outlineLevelRow="1"/>
  <cols>
    <col min="1" max="1" width="6.57421875" style="12" customWidth="1"/>
    <col min="2" max="2" width="6.421875" style="83" customWidth="1"/>
    <col min="3" max="3" width="40.7109375" style="144" customWidth="1"/>
    <col min="4" max="4" width="17.7109375" style="136" customWidth="1"/>
    <col min="5" max="5" width="22.28125" style="82" customWidth="1"/>
    <col min="6" max="6" width="16.00390625" style="100" customWidth="1"/>
    <col min="7" max="7" width="16.28125" style="99" customWidth="1"/>
    <col min="8" max="8" width="19.8515625" style="100" customWidth="1"/>
    <col min="9" max="9" width="16.421875" style="100" customWidth="1"/>
    <col min="10" max="10" width="23.00390625" style="82" customWidth="1"/>
    <col min="11" max="11" width="10.28125" style="100" customWidth="1"/>
    <col min="12" max="12" width="11.28125" style="83" customWidth="1"/>
    <col min="13" max="13" width="10.140625" style="83" customWidth="1"/>
    <col min="14" max="14" width="9.7109375" style="83" customWidth="1"/>
    <col min="15" max="15" width="10.140625" style="101" customWidth="1"/>
    <col min="16" max="16" width="9.140625" style="12" hidden="1" customWidth="1"/>
    <col min="17" max="17" width="17.7109375" style="12" customWidth="1"/>
    <col min="18" max="18" width="9.140625" style="12" customWidth="1"/>
    <col min="19" max="19" width="12.00390625" style="12" customWidth="1"/>
    <col min="20" max="16384" width="9.140625" style="12" customWidth="1"/>
  </cols>
  <sheetData>
    <row r="1" spans="2:6" ht="15.75">
      <c r="B1" s="101"/>
      <c r="C1" s="137"/>
      <c r="D1" s="134"/>
      <c r="E1" s="81"/>
      <c r="F1" s="146"/>
    </row>
    <row r="2" spans="2:8" ht="15.75">
      <c r="B2" s="101"/>
      <c r="C2" s="137"/>
      <c r="D2" s="134"/>
      <c r="E2" s="81"/>
      <c r="F2" s="146"/>
      <c r="H2" s="102"/>
    </row>
    <row r="3" spans="2:15" s="10" customFormat="1" ht="15">
      <c r="B3" s="138"/>
      <c r="C3" s="138"/>
      <c r="D3" s="14"/>
      <c r="E3" s="14"/>
      <c r="F3" s="147"/>
      <c r="G3" s="103"/>
      <c r="H3" s="104"/>
      <c r="I3" s="103"/>
      <c r="J3" s="103"/>
      <c r="K3" s="103"/>
      <c r="L3" s="83"/>
      <c r="M3" s="83"/>
      <c r="N3" s="83"/>
      <c r="O3" s="83"/>
    </row>
    <row r="4" spans="2:15" s="10" customFormat="1" ht="21" customHeight="1">
      <c r="B4" s="138"/>
      <c r="C4" s="139"/>
      <c r="D4" s="135"/>
      <c r="E4" s="83"/>
      <c r="F4" s="147"/>
      <c r="G4" s="103"/>
      <c r="H4" s="104"/>
      <c r="I4" s="103"/>
      <c r="J4" s="103"/>
      <c r="K4" s="103"/>
      <c r="L4" s="83"/>
      <c r="M4" s="83"/>
      <c r="N4" s="83"/>
      <c r="O4" s="83"/>
    </row>
    <row r="5" spans="2:6" ht="15.75">
      <c r="B5" s="101"/>
      <c r="C5" s="101"/>
      <c r="D5" s="134"/>
      <c r="E5" s="81"/>
      <c r="F5" s="146"/>
    </row>
    <row r="6" spans="3:6" ht="15.75">
      <c r="C6" s="139" t="s">
        <v>371</v>
      </c>
      <c r="D6" s="134"/>
      <c r="E6" s="81"/>
      <c r="F6" s="146"/>
    </row>
    <row r="7" spans="3:6" ht="15.75">
      <c r="C7" s="101" t="s">
        <v>242</v>
      </c>
      <c r="D7" s="134"/>
      <c r="E7" s="81"/>
      <c r="F7" s="146"/>
    </row>
    <row r="8" spans="3:6" ht="15.75">
      <c r="C8" s="101"/>
      <c r="D8" s="134"/>
      <c r="E8" s="81"/>
      <c r="F8" s="146"/>
    </row>
    <row r="9" spans="1:15" s="133" customFormat="1" ht="32.25" customHeight="1">
      <c r="A9" s="213" t="s">
        <v>62</v>
      </c>
      <c r="B9" s="213" t="s">
        <v>63</v>
      </c>
      <c r="C9" s="823" t="s">
        <v>139</v>
      </c>
      <c r="D9" s="794" t="s">
        <v>140</v>
      </c>
      <c r="E9" s="801" t="s">
        <v>141</v>
      </c>
      <c r="F9" s="801" t="s">
        <v>142</v>
      </c>
      <c r="G9" s="792" t="s">
        <v>143</v>
      </c>
      <c r="H9" s="793"/>
      <c r="I9" s="794"/>
      <c r="J9" s="798" t="s">
        <v>103</v>
      </c>
      <c r="K9" s="801" t="s">
        <v>136</v>
      </c>
      <c r="L9" s="801" t="s">
        <v>108</v>
      </c>
      <c r="M9" s="708" t="s">
        <v>107</v>
      </c>
      <c r="N9" s="709"/>
      <c r="O9" s="1088"/>
    </row>
    <row r="10" spans="1:15" s="133" customFormat="1" ht="15.75" customHeight="1">
      <c r="A10" s="214"/>
      <c r="B10" s="215"/>
      <c r="C10" s="823"/>
      <c r="D10" s="827"/>
      <c r="E10" s="802"/>
      <c r="F10" s="802"/>
      <c r="G10" s="795"/>
      <c r="H10" s="796"/>
      <c r="I10" s="797"/>
      <c r="J10" s="799"/>
      <c r="K10" s="802"/>
      <c r="L10" s="803"/>
      <c r="M10" s="708" t="s">
        <v>109</v>
      </c>
      <c r="N10" s="712"/>
      <c r="O10" s="1089"/>
    </row>
    <row r="11" spans="1:15" s="133" customFormat="1" ht="28.5" customHeight="1">
      <c r="A11" s="235"/>
      <c r="B11" s="217"/>
      <c r="C11" s="823"/>
      <c r="D11" s="797"/>
      <c r="E11" s="803"/>
      <c r="F11" s="803"/>
      <c r="G11" s="106" t="s">
        <v>336</v>
      </c>
      <c r="H11" s="106" t="s">
        <v>267</v>
      </c>
      <c r="I11" s="106" t="s">
        <v>335</v>
      </c>
      <c r="J11" s="800"/>
      <c r="K11" s="803"/>
      <c r="L11" s="105" t="s">
        <v>144</v>
      </c>
      <c r="M11" s="105" t="s">
        <v>145</v>
      </c>
      <c r="N11" s="105" t="s">
        <v>146</v>
      </c>
      <c r="O11" s="105" t="s">
        <v>267</v>
      </c>
    </row>
    <row r="12" spans="1:15" ht="89.25" customHeight="1">
      <c r="A12" s="482"/>
      <c r="B12" s="483"/>
      <c r="C12" s="145" t="s">
        <v>39</v>
      </c>
      <c r="D12" s="89" t="s">
        <v>147</v>
      </c>
      <c r="E12" s="84" t="s">
        <v>148</v>
      </c>
      <c r="F12" s="148"/>
      <c r="G12" s="224"/>
      <c r="H12" s="224"/>
      <c r="I12" s="224"/>
      <c r="J12" s="85" t="s">
        <v>17</v>
      </c>
      <c r="K12" s="108" t="s">
        <v>149</v>
      </c>
      <c r="L12" s="110"/>
      <c r="M12" s="111">
        <v>1.3</v>
      </c>
      <c r="N12" s="112">
        <v>1.3</v>
      </c>
      <c r="O12" s="111">
        <v>1.3</v>
      </c>
    </row>
    <row r="13" spans="1:15" ht="89.25" customHeight="1">
      <c r="A13" s="855">
        <v>1</v>
      </c>
      <c r="B13" s="857">
        <v>1</v>
      </c>
      <c r="C13" s="1090" t="s">
        <v>373</v>
      </c>
      <c r="D13" s="1090" t="s">
        <v>147</v>
      </c>
      <c r="E13" s="1090" t="s">
        <v>372</v>
      </c>
      <c r="F13" s="1090"/>
      <c r="G13" s="1090">
        <v>90555.6</v>
      </c>
      <c r="H13" s="1090">
        <v>91461.1</v>
      </c>
      <c r="I13" s="1090">
        <v>92366.7</v>
      </c>
      <c r="J13" s="1093" t="s">
        <v>45</v>
      </c>
      <c r="K13" s="1092" t="s">
        <v>51</v>
      </c>
      <c r="L13" s="1092"/>
      <c r="M13" s="1092"/>
      <c r="N13" s="1092"/>
      <c r="O13" s="1092"/>
    </row>
    <row r="14" spans="1:15" ht="39.75" customHeight="1" outlineLevel="1">
      <c r="A14" s="856"/>
      <c r="B14" s="856"/>
      <c r="C14" s="1091"/>
      <c r="D14" s="1091" t="s">
        <v>147</v>
      </c>
      <c r="E14" s="1091"/>
      <c r="F14" s="1091"/>
      <c r="G14" s="1091">
        <f>11103+888.9+10500</f>
        <v>22491.9</v>
      </c>
      <c r="H14" s="1091">
        <f aca="true" t="shared" si="0" ref="H14:H22">G14*1%+G14</f>
        <v>22716.819000000003</v>
      </c>
      <c r="I14" s="1091">
        <f>G14*2%+G14</f>
        <v>22941.738</v>
      </c>
      <c r="J14" s="745"/>
      <c r="K14" s="745" t="s">
        <v>51</v>
      </c>
      <c r="L14" s="745"/>
      <c r="M14" s="745"/>
      <c r="N14" s="745"/>
      <c r="O14" s="745"/>
    </row>
    <row r="15" spans="1:15" ht="42.75" outlineLevel="1">
      <c r="A15" s="856"/>
      <c r="B15" s="856"/>
      <c r="C15" s="1091"/>
      <c r="D15" s="1091" t="s">
        <v>152</v>
      </c>
      <c r="E15" s="1091" t="s">
        <v>30</v>
      </c>
      <c r="F15" s="1091"/>
      <c r="G15" s="1091">
        <v>4997.3</v>
      </c>
      <c r="H15" s="1091">
        <f t="shared" si="0"/>
        <v>5047.273</v>
      </c>
      <c r="I15" s="1091">
        <f aca="true" t="shared" si="1" ref="I15:I22">G15*2%+G15</f>
        <v>5097.246</v>
      </c>
      <c r="J15" s="158" t="s">
        <v>46</v>
      </c>
      <c r="K15" s="159" t="s">
        <v>149</v>
      </c>
      <c r="L15" s="110">
        <v>70</v>
      </c>
      <c r="M15" s="111">
        <v>80</v>
      </c>
      <c r="N15" s="112">
        <v>80</v>
      </c>
      <c r="O15" s="111">
        <v>80</v>
      </c>
    </row>
    <row r="16" spans="1:15" ht="51.75" customHeight="1" outlineLevel="1">
      <c r="A16" s="856"/>
      <c r="B16" s="856"/>
      <c r="C16" s="1091"/>
      <c r="D16" s="1091" t="s">
        <v>152</v>
      </c>
      <c r="E16" s="1091" t="s">
        <v>154</v>
      </c>
      <c r="F16" s="1091"/>
      <c r="G16" s="1091">
        <v>3012.8</v>
      </c>
      <c r="H16" s="1091">
        <f t="shared" si="0"/>
        <v>3042.9280000000003</v>
      </c>
      <c r="I16" s="1091">
        <f t="shared" si="1"/>
        <v>3073.056</v>
      </c>
      <c r="J16" s="160" t="s">
        <v>47</v>
      </c>
      <c r="K16" s="159" t="s">
        <v>149</v>
      </c>
      <c r="L16" s="110">
        <v>56</v>
      </c>
      <c r="M16" s="111" t="s">
        <v>183</v>
      </c>
      <c r="N16" s="111" t="s">
        <v>183</v>
      </c>
      <c r="O16" s="111" t="s">
        <v>183</v>
      </c>
    </row>
    <row r="17" spans="1:15" ht="56.25" customHeight="1" outlineLevel="1">
      <c r="A17" s="856"/>
      <c r="B17" s="856"/>
      <c r="C17" s="1091"/>
      <c r="D17" s="1091" t="s">
        <v>152</v>
      </c>
      <c r="E17" s="1091" t="s">
        <v>156</v>
      </c>
      <c r="F17" s="1091"/>
      <c r="G17" s="1091">
        <v>2425.2</v>
      </c>
      <c r="H17" s="1091">
        <f t="shared" si="0"/>
        <v>2449.4519999999998</v>
      </c>
      <c r="I17" s="1091">
        <f t="shared" si="1"/>
        <v>2473.7039999999997</v>
      </c>
      <c r="J17" s="158" t="s">
        <v>48</v>
      </c>
      <c r="K17" s="159" t="s">
        <v>52</v>
      </c>
      <c r="L17" s="110" t="s">
        <v>33</v>
      </c>
      <c r="M17" s="111" t="s">
        <v>183</v>
      </c>
      <c r="N17" s="111" t="s">
        <v>183</v>
      </c>
      <c r="O17" s="111" t="s">
        <v>183</v>
      </c>
    </row>
    <row r="18" spans="1:15" ht="60.75" customHeight="1" outlineLevel="1">
      <c r="A18" s="856"/>
      <c r="B18" s="856"/>
      <c r="C18" s="1091"/>
      <c r="D18" s="1091" t="s">
        <v>152</v>
      </c>
      <c r="E18" s="1091" t="s">
        <v>40</v>
      </c>
      <c r="F18" s="1091"/>
      <c r="G18" s="1091">
        <v>2548.4</v>
      </c>
      <c r="H18" s="1091">
        <f t="shared" si="0"/>
        <v>2573.884</v>
      </c>
      <c r="I18" s="1091">
        <f t="shared" si="1"/>
        <v>2599.368</v>
      </c>
      <c r="J18" s="158" t="s">
        <v>49</v>
      </c>
      <c r="K18" s="159" t="s">
        <v>170</v>
      </c>
      <c r="L18" s="110">
        <v>128</v>
      </c>
      <c r="M18" s="111" t="s">
        <v>183</v>
      </c>
      <c r="N18" s="111" t="s">
        <v>183</v>
      </c>
      <c r="O18" s="111" t="s">
        <v>183</v>
      </c>
    </row>
    <row r="19" spans="1:15" ht="57" customHeight="1" outlineLevel="1">
      <c r="A19" s="858"/>
      <c r="B19" s="858"/>
      <c r="C19" s="1091"/>
      <c r="D19" s="1091"/>
      <c r="E19" s="1091"/>
      <c r="F19" s="1091"/>
      <c r="G19" s="1091">
        <v>2974</v>
      </c>
      <c r="H19" s="1091">
        <f t="shared" si="0"/>
        <v>3003.74</v>
      </c>
      <c r="I19" s="1091">
        <f t="shared" si="1"/>
        <v>3033.48</v>
      </c>
      <c r="J19" s="158" t="s">
        <v>50</v>
      </c>
      <c r="K19" s="159" t="s">
        <v>149</v>
      </c>
      <c r="L19" s="110">
        <v>18</v>
      </c>
      <c r="M19" s="111" t="s">
        <v>183</v>
      </c>
      <c r="N19" s="111" t="s">
        <v>183</v>
      </c>
      <c r="O19" s="111" t="s">
        <v>183</v>
      </c>
    </row>
    <row r="20" spans="1:15" ht="51" customHeight="1">
      <c r="A20" s="216">
        <v>1</v>
      </c>
      <c r="B20" s="217">
        <v>2</v>
      </c>
      <c r="C20" s="220" t="s">
        <v>65</v>
      </c>
      <c r="D20" s="87" t="s">
        <v>147</v>
      </c>
      <c r="E20" s="86" t="s">
        <v>68</v>
      </c>
      <c r="F20" s="149"/>
      <c r="G20" s="435">
        <v>416805.6</v>
      </c>
      <c r="H20" s="435">
        <f>G20*1%+G20</f>
        <v>420973.65599999996</v>
      </c>
      <c r="I20" s="435">
        <f t="shared" si="1"/>
        <v>425141.712</v>
      </c>
      <c r="J20" s="86"/>
      <c r="K20" s="115"/>
      <c r="L20" s="110"/>
      <c r="M20" s="110"/>
      <c r="N20" s="116"/>
      <c r="O20" s="110"/>
    </row>
    <row r="21" spans="1:15" ht="99.75" hidden="1" outlineLevel="1">
      <c r="A21" s="216">
        <v>1</v>
      </c>
      <c r="B21" s="217">
        <v>9</v>
      </c>
      <c r="C21" s="86" t="s">
        <v>158</v>
      </c>
      <c r="D21" s="87" t="s">
        <v>147</v>
      </c>
      <c r="E21" s="86" t="s">
        <v>159</v>
      </c>
      <c r="F21" s="223"/>
      <c r="G21" s="435">
        <v>2297.5</v>
      </c>
      <c r="H21" s="435">
        <f t="shared" si="0"/>
        <v>2320.475</v>
      </c>
      <c r="I21" s="435">
        <f t="shared" si="1"/>
        <v>2343.45</v>
      </c>
      <c r="J21" s="86"/>
      <c r="K21" s="115"/>
      <c r="L21" s="110"/>
      <c r="M21" s="110"/>
      <c r="N21" s="116"/>
      <c r="O21" s="110"/>
    </row>
    <row r="22" spans="1:15" ht="28.5" hidden="1" outlineLevel="1">
      <c r="A22" s="235">
        <v>1</v>
      </c>
      <c r="B22" s="217">
        <v>10</v>
      </c>
      <c r="C22" s="86" t="s">
        <v>41</v>
      </c>
      <c r="D22" s="87" t="s">
        <v>147</v>
      </c>
      <c r="E22" s="86" t="s">
        <v>42</v>
      </c>
      <c r="F22" s="149"/>
      <c r="G22" s="435">
        <v>2302.4</v>
      </c>
      <c r="H22" s="435">
        <f t="shared" si="0"/>
        <v>2325.424</v>
      </c>
      <c r="I22" s="435">
        <f t="shared" si="1"/>
        <v>2348.4480000000003</v>
      </c>
      <c r="J22" s="86"/>
      <c r="K22" s="222"/>
      <c r="L22" s="110"/>
      <c r="M22" s="110"/>
      <c r="N22" s="116"/>
      <c r="O22" s="110"/>
    </row>
    <row r="23" spans="1:15" ht="15.75" collapsed="1">
      <c r="A23" s="482"/>
      <c r="B23" s="483"/>
      <c r="C23" s="162" t="s">
        <v>160</v>
      </c>
      <c r="D23" s="163"/>
      <c r="E23" s="162"/>
      <c r="F23" s="225"/>
      <c r="G23" s="165">
        <f>SUM(G13:G22)</f>
        <v>550410.7</v>
      </c>
      <c r="H23" s="165">
        <f>SUM(H13:H22)</f>
        <v>555914.7509999999</v>
      </c>
      <c r="I23" s="165">
        <f>SUM(I13:I22)</f>
        <v>561418.9019999999</v>
      </c>
      <c r="J23" s="162"/>
      <c r="K23" s="164"/>
      <c r="L23" s="167"/>
      <c r="M23" s="168"/>
      <c r="N23" s="169"/>
      <c r="O23" s="168"/>
    </row>
    <row r="24" spans="1:15" ht="94.5" customHeight="1">
      <c r="A24" s="482"/>
      <c r="B24" s="483"/>
      <c r="C24" s="84" t="s">
        <v>43</v>
      </c>
      <c r="D24" s="89" t="s">
        <v>161</v>
      </c>
      <c r="E24" s="84" t="s">
        <v>162</v>
      </c>
      <c r="F24" s="114"/>
      <c r="G24" s="118"/>
      <c r="H24" s="107"/>
      <c r="I24" s="107"/>
      <c r="J24" s="90" t="s">
        <v>163</v>
      </c>
      <c r="K24" s="108" t="s">
        <v>149</v>
      </c>
      <c r="L24" s="109">
        <v>100</v>
      </c>
      <c r="M24" s="109">
        <v>100</v>
      </c>
      <c r="N24" s="109">
        <v>100</v>
      </c>
      <c r="O24" s="109">
        <v>100</v>
      </c>
    </row>
    <row r="25" spans="1:17" ht="60" customHeight="1">
      <c r="A25" s="841">
        <v>2</v>
      </c>
      <c r="B25" s="757">
        <v>1</v>
      </c>
      <c r="C25" s="824" t="s">
        <v>164</v>
      </c>
      <c r="D25" s="749" t="s">
        <v>165</v>
      </c>
      <c r="E25" s="743" t="s">
        <v>162</v>
      </c>
      <c r="F25" s="765" t="s">
        <v>166</v>
      </c>
      <c r="G25" s="733">
        <f>194300</f>
        <v>194300</v>
      </c>
      <c r="H25" s="733">
        <v>0</v>
      </c>
      <c r="I25" s="733">
        <v>0</v>
      </c>
      <c r="J25" s="773" t="s">
        <v>167</v>
      </c>
      <c r="K25" s="765" t="s">
        <v>168</v>
      </c>
      <c r="L25" s="1086">
        <v>107073</v>
      </c>
      <c r="M25" s="1086">
        <v>107073</v>
      </c>
      <c r="N25" s="1086">
        <v>107073</v>
      </c>
      <c r="O25" s="1086">
        <v>107073</v>
      </c>
      <c r="P25" s="13"/>
      <c r="Q25" s="13"/>
    </row>
    <row r="26" spans="1:17" ht="15.75">
      <c r="A26" s="842"/>
      <c r="B26" s="758"/>
      <c r="C26" s="824"/>
      <c r="D26" s="830"/>
      <c r="E26" s="837"/>
      <c r="F26" s="766"/>
      <c r="G26" s="746"/>
      <c r="H26" s="746"/>
      <c r="I26" s="746"/>
      <c r="J26" s="774"/>
      <c r="K26" s="791"/>
      <c r="L26" s="1087"/>
      <c r="M26" s="1087"/>
      <c r="N26" s="1087"/>
      <c r="O26" s="1087"/>
      <c r="P26" s="13"/>
      <c r="Q26" s="13"/>
    </row>
    <row r="27" spans="1:17" ht="128.25">
      <c r="A27" s="842"/>
      <c r="B27" s="758"/>
      <c r="C27" s="824"/>
      <c r="D27" s="830"/>
      <c r="E27" s="837"/>
      <c r="F27" s="766"/>
      <c r="G27" s="746"/>
      <c r="H27" s="746"/>
      <c r="I27" s="746"/>
      <c r="J27" s="86" t="s">
        <v>169</v>
      </c>
      <c r="K27" s="108" t="s">
        <v>170</v>
      </c>
      <c r="L27" s="110">
        <v>3425</v>
      </c>
      <c r="M27" s="110">
        <v>3425</v>
      </c>
      <c r="N27" s="110">
        <v>3425</v>
      </c>
      <c r="O27" s="110">
        <v>3425</v>
      </c>
      <c r="P27" s="13"/>
      <c r="Q27" s="13"/>
    </row>
    <row r="28" spans="1:17" ht="69.75" customHeight="1">
      <c r="A28" s="842"/>
      <c r="B28" s="843"/>
      <c r="C28" s="824"/>
      <c r="D28" s="750"/>
      <c r="E28" s="751"/>
      <c r="F28" s="791"/>
      <c r="G28" s="734"/>
      <c r="H28" s="734"/>
      <c r="I28" s="734"/>
      <c r="J28" s="86" t="s">
        <v>171</v>
      </c>
      <c r="K28" s="108" t="s">
        <v>149</v>
      </c>
      <c r="L28" s="234">
        <v>84.8</v>
      </c>
      <c r="M28" s="234">
        <v>84.8</v>
      </c>
      <c r="N28" s="234">
        <v>84.8</v>
      </c>
      <c r="O28" s="234">
        <v>84.8</v>
      </c>
      <c r="P28" s="13"/>
      <c r="Q28" s="13"/>
    </row>
    <row r="29" spans="1:17" ht="45" customHeight="1">
      <c r="A29" s="841">
        <v>2</v>
      </c>
      <c r="B29" s="757">
        <v>2</v>
      </c>
      <c r="C29" s="824" t="s">
        <v>172</v>
      </c>
      <c r="D29" s="749" t="s">
        <v>165</v>
      </c>
      <c r="E29" s="743" t="s">
        <v>162</v>
      </c>
      <c r="F29" s="765" t="s">
        <v>173</v>
      </c>
      <c r="G29" s="733">
        <f>2375700.6-G35</f>
        <v>1778900.6</v>
      </c>
      <c r="H29" s="733">
        <f>G29*1%+G29</f>
        <v>1796689.6060000001</v>
      </c>
      <c r="I29" s="733">
        <f>G29*2%+G29-5967.9</f>
        <v>1808510.7120000003</v>
      </c>
      <c r="J29" s="86" t="s">
        <v>174</v>
      </c>
      <c r="K29" s="108" t="s">
        <v>170</v>
      </c>
      <c r="L29" s="116">
        <v>1062</v>
      </c>
      <c r="M29" s="116">
        <v>1062</v>
      </c>
      <c r="N29" s="116">
        <v>1062</v>
      </c>
      <c r="O29" s="116">
        <v>1062</v>
      </c>
      <c r="P29" s="13"/>
      <c r="Q29" s="13"/>
    </row>
    <row r="30" spans="1:17" ht="42.75">
      <c r="A30" s="842"/>
      <c r="B30" s="758"/>
      <c r="C30" s="824"/>
      <c r="D30" s="830"/>
      <c r="E30" s="837"/>
      <c r="F30" s="766"/>
      <c r="G30" s="746"/>
      <c r="H30" s="746"/>
      <c r="I30" s="746"/>
      <c r="J30" s="90" t="s">
        <v>175</v>
      </c>
      <c r="K30" s="108" t="s">
        <v>149</v>
      </c>
      <c r="L30" s="110">
        <v>114.4</v>
      </c>
      <c r="M30" s="110">
        <v>114.4</v>
      </c>
      <c r="N30" s="110">
        <v>114.4</v>
      </c>
      <c r="O30" s="110">
        <v>114.4</v>
      </c>
      <c r="P30" s="110">
        <v>114.4</v>
      </c>
      <c r="Q30" s="13"/>
    </row>
    <row r="31" spans="1:17" ht="45" customHeight="1">
      <c r="A31" s="842"/>
      <c r="B31" s="758"/>
      <c r="C31" s="824"/>
      <c r="D31" s="830"/>
      <c r="E31" s="837"/>
      <c r="F31" s="766"/>
      <c r="G31" s="746"/>
      <c r="H31" s="746"/>
      <c r="I31" s="746"/>
      <c r="J31" s="773" t="s">
        <v>176</v>
      </c>
      <c r="K31" s="765" t="s">
        <v>168</v>
      </c>
      <c r="L31" s="765">
        <v>160</v>
      </c>
      <c r="M31" s="765">
        <v>175</v>
      </c>
      <c r="N31" s="765">
        <v>175</v>
      </c>
      <c r="O31" s="765">
        <v>175</v>
      </c>
      <c r="P31" s="13"/>
      <c r="Q31" s="13"/>
    </row>
    <row r="32" spans="1:15" ht="15.75">
      <c r="A32" s="842"/>
      <c r="B32" s="843"/>
      <c r="C32" s="824"/>
      <c r="D32" s="750"/>
      <c r="E32" s="751"/>
      <c r="F32" s="791"/>
      <c r="G32" s="734"/>
      <c r="H32" s="734"/>
      <c r="I32" s="734"/>
      <c r="J32" s="774"/>
      <c r="K32" s="791"/>
      <c r="L32" s="791"/>
      <c r="M32" s="791"/>
      <c r="N32" s="791"/>
      <c r="O32" s="791"/>
    </row>
    <row r="33" spans="1:15" ht="103.5" customHeight="1">
      <c r="A33" s="841">
        <v>2</v>
      </c>
      <c r="B33" s="757">
        <v>3</v>
      </c>
      <c r="C33" s="824" t="s">
        <v>177</v>
      </c>
      <c r="D33" s="749" t="s">
        <v>165</v>
      </c>
      <c r="E33" s="743" t="s">
        <v>162</v>
      </c>
      <c r="F33" s="765" t="s">
        <v>173</v>
      </c>
      <c r="G33" s="733">
        <v>11367</v>
      </c>
      <c r="H33" s="733">
        <v>11480.7</v>
      </c>
      <c r="I33" s="733">
        <v>11594.3</v>
      </c>
      <c r="J33" s="86" t="s">
        <v>178</v>
      </c>
      <c r="K33" s="108" t="s">
        <v>170</v>
      </c>
      <c r="L33" s="110">
        <v>20</v>
      </c>
      <c r="M33" s="110">
        <v>20</v>
      </c>
      <c r="N33" s="120">
        <v>20</v>
      </c>
      <c r="O33" s="119">
        <v>20</v>
      </c>
    </row>
    <row r="34" spans="1:15" ht="39" customHeight="1">
      <c r="A34" s="842"/>
      <c r="B34" s="843"/>
      <c r="C34" s="824"/>
      <c r="D34" s="750"/>
      <c r="E34" s="751"/>
      <c r="F34" s="791"/>
      <c r="G34" s="746"/>
      <c r="H34" s="734"/>
      <c r="I34" s="734"/>
      <c r="J34" s="90" t="s">
        <v>179</v>
      </c>
      <c r="K34" s="108" t="s">
        <v>168</v>
      </c>
      <c r="L34" s="119">
        <v>985</v>
      </c>
      <c r="M34" s="119">
        <v>985</v>
      </c>
      <c r="N34" s="119">
        <v>985</v>
      </c>
      <c r="O34" s="119">
        <v>985</v>
      </c>
    </row>
    <row r="35" spans="1:15" ht="30.75" customHeight="1">
      <c r="A35" s="841">
        <v>2</v>
      </c>
      <c r="B35" s="757">
        <v>3</v>
      </c>
      <c r="C35" s="824" t="s">
        <v>180</v>
      </c>
      <c r="D35" s="749" t="s">
        <v>165</v>
      </c>
      <c r="E35" s="743" t="s">
        <v>162</v>
      </c>
      <c r="F35" s="150" t="s">
        <v>181</v>
      </c>
      <c r="G35" s="733">
        <v>596800</v>
      </c>
      <c r="H35" s="733">
        <f>G35*1%+G35</f>
        <v>602768</v>
      </c>
      <c r="I35" s="733">
        <f>G35*2%+H35</f>
        <v>614704</v>
      </c>
      <c r="J35" s="90" t="s">
        <v>182</v>
      </c>
      <c r="K35" s="108" t="s">
        <v>170</v>
      </c>
      <c r="L35" s="110">
        <v>161</v>
      </c>
      <c r="M35" s="110" t="s">
        <v>183</v>
      </c>
      <c r="N35" s="110" t="s">
        <v>183</v>
      </c>
      <c r="O35" s="110" t="s">
        <v>183</v>
      </c>
    </row>
    <row r="36" spans="1:15" ht="54.75" customHeight="1">
      <c r="A36" s="842"/>
      <c r="B36" s="758"/>
      <c r="C36" s="824"/>
      <c r="D36" s="750"/>
      <c r="E36" s="751"/>
      <c r="F36" s="151"/>
      <c r="G36" s="748"/>
      <c r="H36" s="734"/>
      <c r="I36" s="734"/>
      <c r="J36" s="90" t="s">
        <v>184</v>
      </c>
      <c r="L36" s="110">
        <v>18</v>
      </c>
      <c r="M36" s="110" t="s">
        <v>183</v>
      </c>
      <c r="N36" s="110" t="s">
        <v>183</v>
      </c>
      <c r="O36" s="110" t="s">
        <v>183</v>
      </c>
    </row>
    <row r="37" spans="2:15" ht="15.75">
      <c r="B37" s="183"/>
      <c r="C37" s="162" t="s">
        <v>160</v>
      </c>
      <c r="D37" s="163"/>
      <c r="E37" s="162"/>
      <c r="F37" s="164"/>
      <c r="G37" s="170">
        <f>G25+G29+G33+G35</f>
        <v>2581367.6</v>
      </c>
      <c r="H37" s="170">
        <f>H25+H29+H33+H35</f>
        <v>2410938.306</v>
      </c>
      <c r="I37" s="170">
        <f>I25+I29+I33+I35</f>
        <v>2434809.012</v>
      </c>
      <c r="J37" s="171"/>
      <c r="K37" s="172"/>
      <c r="L37" s="167"/>
      <c r="M37" s="168"/>
      <c r="N37" s="169"/>
      <c r="O37" s="168"/>
    </row>
    <row r="38" spans="1:15" ht="104.25" customHeight="1">
      <c r="A38" s="228">
        <v>3</v>
      </c>
      <c r="B38" s="236">
        <v>1</v>
      </c>
      <c r="C38" s="84" t="s">
        <v>44</v>
      </c>
      <c r="D38" s="89" t="s">
        <v>161</v>
      </c>
      <c r="E38" s="84" t="s">
        <v>162</v>
      </c>
      <c r="F38" s="114"/>
      <c r="G38" s="436"/>
      <c r="H38" s="437"/>
      <c r="I38" s="437"/>
      <c r="J38" s="90" t="s">
        <v>185</v>
      </c>
      <c r="K38" s="108" t="s">
        <v>149</v>
      </c>
      <c r="L38" s="110" t="s">
        <v>186</v>
      </c>
      <c r="M38" s="110" t="s">
        <v>186</v>
      </c>
      <c r="N38" s="110" t="s">
        <v>186</v>
      </c>
      <c r="O38" s="110" t="s">
        <v>186</v>
      </c>
    </row>
    <row r="39" spans="1:15" ht="95.25" customHeight="1">
      <c r="A39" s="841">
        <v>3</v>
      </c>
      <c r="B39" s="757">
        <v>2</v>
      </c>
      <c r="C39" s="743" t="s">
        <v>187</v>
      </c>
      <c r="D39" s="1084" t="s">
        <v>188</v>
      </c>
      <c r="E39" s="818" t="s">
        <v>189</v>
      </c>
      <c r="F39" s="741"/>
      <c r="G39" s="1082">
        <f>17254407.4+589300</f>
        <v>17843707.4</v>
      </c>
      <c r="H39" s="1082">
        <f>17426951.5+439600</f>
        <v>17866551.5</v>
      </c>
      <c r="I39" s="1082">
        <f>17599495.5+215900</f>
        <v>17815395.5</v>
      </c>
      <c r="J39" s="90" t="s">
        <v>79</v>
      </c>
      <c r="K39" s="108" t="s">
        <v>149</v>
      </c>
      <c r="L39" s="110">
        <v>67</v>
      </c>
      <c r="M39" s="110">
        <v>69</v>
      </c>
      <c r="N39" s="116">
        <v>71</v>
      </c>
      <c r="O39" s="110">
        <v>71</v>
      </c>
    </row>
    <row r="40" spans="1:15" ht="77.25" customHeight="1">
      <c r="A40" s="842"/>
      <c r="B40" s="843"/>
      <c r="C40" s="811"/>
      <c r="D40" s="1085"/>
      <c r="E40" s="819"/>
      <c r="F40" s="742"/>
      <c r="G40" s="1083"/>
      <c r="H40" s="1083"/>
      <c r="I40" s="1083"/>
      <c r="J40" s="90" t="s">
        <v>190</v>
      </c>
      <c r="K40" s="108" t="s">
        <v>149</v>
      </c>
      <c r="L40" s="122">
        <v>100</v>
      </c>
      <c r="M40" s="122" t="s">
        <v>268</v>
      </c>
      <c r="N40" s="123" t="s">
        <v>191</v>
      </c>
      <c r="O40" s="122" t="s">
        <v>191</v>
      </c>
    </row>
    <row r="41" spans="1:15" ht="116.25" customHeight="1">
      <c r="A41" s="228">
        <v>3</v>
      </c>
      <c r="B41" s="236">
        <v>3</v>
      </c>
      <c r="C41" s="86" t="s">
        <v>193</v>
      </c>
      <c r="D41" s="140" t="s">
        <v>165</v>
      </c>
      <c r="E41" s="92" t="s">
        <v>162</v>
      </c>
      <c r="F41" s="152" t="s">
        <v>194</v>
      </c>
      <c r="G41" s="113">
        <v>3142.3</v>
      </c>
      <c r="H41" s="113">
        <v>3173.7</v>
      </c>
      <c r="I41" s="113">
        <v>3205.1</v>
      </c>
      <c r="J41" s="90" t="s">
        <v>195</v>
      </c>
      <c r="K41" s="108" t="s">
        <v>192</v>
      </c>
      <c r="L41" s="119">
        <v>4</v>
      </c>
      <c r="M41" s="119">
        <v>2</v>
      </c>
      <c r="N41" s="120">
        <v>2</v>
      </c>
      <c r="O41" s="119"/>
    </row>
    <row r="42" spans="1:15" ht="58.5" customHeight="1">
      <c r="A42" s="841">
        <v>3</v>
      </c>
      <c r="B42" s="757">
        <v>4</v>
      </c>
      <c r="C42" s="824" t="s">
        <v>196</v>
      </c>
      <c r="D42" s="749" t="s">
        <v>165</v>
      </c>
      <c r="E42" s="743" t="s">
        <v>162</v>
      </c>
      <c r="F42" s="765" t="s">
        <v>197</v>
      </c>
      <c r="G42" s="733">
        <v>56168.9</v>
      </c>
      <c r="H42" s="733">
        <v>56730.6</v>
      </c>
      <c r="I42" s="733">
        <v>57292.3</v>
      </c>
      <c r="J42" s="90" t="s">
        <v>198</v>
      </c>
      <c r="K42" s="108" t="s">
        <v>149</v>
      </c>
      <c r="L42" s="124">
        <v>52</v>
      </c>
      <c r="M42" s="124">
        <v>80</v>
      </c>
      <c r="N42" s="125">
        <v>80</v>
      </c>
      <c r="O42" s="124">
        <v>80</v>
      </c>
    </row>
    <row r="43" spans="1:15" ht="42.75">
      <c r="A43" s="842"/>
      <c r="B43" s="758"/>
      <c r="C43" s="824"/>
      <c r="D43" s="830"/>
      <c r="E43" s="837"/>
      <c r="F43" s="766"/>
      <c r="G43" s="746"/>
      <c r="H43" s="746"/>
      <c r="I43" s="746"/>
      <c r="J43" s="90" t="s">
        <v>199</v>
      </c>
      <c r="K43" s="108" t="s">
        <v>149</v>
      </c>
      <c r="L43" s="126">
        <v>60</v>
      </c>
      <c r="M43" s="110" t="s">
        <v>183</v>
      </c>
      <c r="N43" s="110" t="s">
        <v>183</v>
      </c>
      <c r="O43" s="110" t="s">
        <v>183</v>
      </c>
    </row>
    <row r="44" spans="1:15" ht="30" customHeight="1">
      <c r="A44" s="842"/>
      <c r="B44" s="758"/>
      <c r="C44" s="824"/>
      <c r="D44" s="830"/>
      <c r="E44" s="837"/>
      <c r="F44" s="766"/>
      <c r="G44" s="746"/>
      <c r="H44" s="746"/>
      <c r="I44" s="746"/>
      <c r="J44" s="743" t="s">
        <v>200</v>
      </c>
      <c r="K44" s="765" t="s">
        <v>192</v>
      </c>
      <c r="L44" s="765">
        <v>20</v>
      </c>
      <c r="M44" s="765" t="s">
        <v>268</v>
      </c>
      <c r="N44" s="765" t="s">
        <v>268</v>
      </c>
      <c r="O44" s="765" t="s">
        <v>268</v>
      </c>
    </row>
    <row r="45" spans="1:15" ht="15.75">
      <c r="A45" s="842"/>
      <c r="B45" s="843"/>
      <c r="C45" s="824"/>
      <c r="D45" s="750"/>
      <c r="E45" s="751"/>
      <c r="F45" s="791"/>
      <c r="G45" s="734"/>
      <c r="H45" s="734"/>
      <c r="I45" s="734"/>
      <c r="J45" s="751"/>
      <c r="K45" s="791"/>
      <c r="L45" s="791"/>
      <c r="M45" s="791"/>
      <c r="N45" s="791"/>
      <c r="O45" s="791"/>
    </row>
    <row r="46" spans="1:15" ht="42.75" customHeight="1">
      <c r="A46" s="841">
        <v>3</v>
      </c>
      <c r="B46" s="757">
        <v>5</v>
      </c>
      <c r="C46" s="824" t="s">
        <v>201</v>
      </c>
      <c r="D46" s="814" t="s">
        <v>165</v>
      </c>
      <c r="E46" s="818" t="s">
        <v>162</v>
      </c>
      <c r="F46" s="818" t="s">
        <v>181</v>
      </c>
      <c r="G46" s="721" t="s">
        <v>202</v>
      </c>
      <c r="H46" s="722"/>
      <c r="I46" s="723"/>
      <c r="J46" s="787" t="s">
        <v>203</v>
      </c>
      <c r="K46" s="765" t="s">
        <v>192</v>
      </c>
      <c r="L46" s="1073">
        <v>29</v>
      </c>
      <c r="M46" s="1071" t="s">
        <v>204</v>
      </c>
      <c r="N46" s="1071" t="s">
        <v>204</v>
      </c>
      <c r="O46" s="1071" t="s">
        <v>204</v>
      </c>
    </row>
    <row r="47" spans="1:15" ht="45.75" customHeight="1">
      <c r="A47" s="842"/>
      <c r="B47" s="843"/>
      <c r="C47" s="824"/>
      <c r="D47" s="815"/>
      <c r="E47" s="819"/>
      <c r="F47" s="819"/>
      <c r="G47" s="724"/>
      <c r="H47" s="725"/>
      <c r="I47" s="726"/>
      <c r="J47" s="788"/>
      <c r="K47" s="1080"/>
      <c r="L47" s="1081"/>
      <c r="M47" s="858"/>
      <c r="N47" s="858"/>
      <c r="O47" s="858"/>
    </row>
    <row r="48" spans="1:15" ht="102.75" customHeight="1">
      <c r="A48" s="228">
        <v>3</v>
      </c>
      <c r="B48" s="237">
        <v>6</v>
      </c>
      <c r="C48" s="90" t="s">
        <v>205</v>
      </c>
      <c r="D48" s="87" t="s">
        <v>165</v>
      </c>
      <c r="E48" s="86" t="s">
        <v>162</v>
      </c>
      <c r="F48" s="115" t="s">
        <v>197</v>
      </c>
      <c r="G48" s="128">
        <v>27000</v>
      </c>
      <c r="H48" s="128">
        <v>30000</v>
      </c>
      <c r="I48" s="128">
        <v>30000</v>
      </c>
      <c r="J48" s="90" t="s">
        <v>32</v>
      </c>
      <c r="K48" s="108" t="s">
        <v>149</v>
      </c>
      <c r="L48" s="110">
        <v>96.5</v>
      </c>
      <c r="M48" s="110">
        <v>100</v>
      </c>
      <c r="N48" s="116"/>
      <c r="O48" s="110"/>
    </row>
    <row r="49" spans="1:15" ht="16.5" thickBot="1">
      <c r="A49" s="229"/>
      <c r="B49" s="238"/>
      <c r="C49" s="162" t="s">
        <v>160</v>
      </c>
      <c r="D49" s="163"/>
      <c r="E49" s="162"/>
      <c r="F49" s="164"/>
      <c r="G49" s="165">
        <f>G39+G42+G48+G41+G38</f>
        <v>17930018.599999998</v>
      </c>
      <c r="H49" s="165">
        <f>H39+H42+H48+H41+H38</f>
        <v>17956455.8</v>
      </c>
      <c r="I49" s="165">
        <f>I39+I42+I48+I41+I38</f>
        <v>17905892.900000002</v>
      </c>
      <c r="J49" s="162"/>
      <c r="K49" s="172"/>
      <c r="L49" s="166"/>
      <c r="M49" s="168"/>
      <c r="N49" s="169"/>
      <c r="O49" s="168"/>
    </row>
    <row r="50" spans="1:15" ht="140.25" customHeight="1" thickBot="1">
      <c r="A50" s="441">
        <v>4</v>
      </c>
      <c r="B50" s="442">
        <v>1</v>
      </c>
      <c r="C50" s="469" t="s">
        <v>353</v>
      </c>
      <c r="D50" s="456" t="s">
        <v>338</v>
      </c>
      <c r="E50" s="456" t="s">
        <v>351</v>
      </c>
      <c r="F50" s="445"/>
      <c r="G50" s="470"/>
      <c r="H50" s="470"/>
      <c r="I50" s="471"/>
      <c r="J50" s="480" t="s">
        <v>352</v>
      </c>
      <c r="K50" s="481" t="s">
        <v>149</v>
      </c>
      <c r="L50" s="481">
        <v>5</v>
      </c>
      <c r="M50" s="481">
        <v>15</v>
      </c>
      <c r="N50" s="481">
        <v>30</v>
      </c>
      <c r="O50" s="481">
        <v>50</v>
      </c>
    </row>
    <row r="51" spans="1:15" ht="135" customHeight="1" thickBot="1">
      <c r="A51" s="441">
        <v>4</v>
      </c>
      <c r="B51" s="443">
        <v>2</v>
      </c>
      <c r="C51" s="457" t="s">
        <v>337</v>
      </c>
      <c r="D51" s="460" t="s">
        <v>338</v>
      </c>
      <c r="E51" s="460" t="s">
        <v>339</v>
      </c>
      <c r="F51" s="445"/>
      <c r="G51" s="463">
        <v>320441.05299999996</v>
      </c>
      <c r="H51" s="463">
        <f>G51*1%+G51</f>
        <v>323645.46352999995</v>
      </c>
      <c r="I51" s="464">
        <f>G51*2%+G51</f>
        <v>326849.87405999994</v>
      </c>
      <c r="J51" s="472" t="s">
        <v>340</v>
      </c>
      <c r="K51" s="460" t="s">
        <v>192</v>
      </c>
      <c r="L51" s="473">
        <v>3</v>
      </c>
      <c r="M51" s="473">
        <v>24</v>
      </c>
      <c r="N51" s="473">
        <v>18</v>
      </c>
      <c r="O51" s="473">
        <v>10</v>
      </c>
    </row>
    <row r="52" spans="1:15" ht="114.75" customHeight="1" thickBot="1">
      <c r="A52" s="441">
        <v>4</v>
      </c>
      <c r="B52" s="443">
        <v>3</v>
      </c>
      <c r="C52" s="458" t="s">
        <v>341</v>
      </c>
      <c r="D52" s="460" t="s">
        <v>338</v>
      </c>
      <c r="E52" s="460" t="s">
        <v>342</v>
      </c>
      <c r="F52" s="445"/>
      <c r="G52" s="463">
        <v>17769.3</v>
      </c>
      <c r="H52" s="463">
        <f>G52*1%+G52</f>
        <v>17946.993</v>
      </c>
      <c r="I52" s="464">
        <f>G52*2%+G52</f>
        <v>18124.685999999998</v>
      </c>
      <c r="J52" s="472" t="s">
        <v>343</v>
      </c>
      <c r="K52" s="460" t="s">
        <v>192</v>
      </c>
      <c r="L52" s="474" t="s">
        <v>344</v>
      </c>
      <c r="M52" s="475">
        <v>10</v>
      </c>
      <c r="N52" s="473">
        <v>18</v>
      </c>
      <c r="O52" s="473">
        <v>24</v>
      </c>
    </row>
    <row r="53" spans="1:15" ht="60" customHeight="1" thickBot="1">
      <c r="A53" s="441">
        <v>4</v>
      </c>
      <c r="B53" s="443">
        <v>4</v>
      </c>
      <c r="C53" s="458" t="s">
        <v>345</v>
      </c>
      <c r="D53" s="460" t="s">
        <v>338</v>
      </c>
      <c r="E53" s="460" t="s">
        <v>346</v>
      </c>
      <c r="F53" s="445"/>
      <c r="G53" s="463">
        <v>11598.390000000001</v>
      </c>
      <c r="H53" s="463">
        <f>G53*1%+G53</f>
        <v>11714.3739</v>
      </c>
      <c r="I53" s="464">
        <f>G53*2%+G53</f>
        <v>11830.357800000002</v>
      </c>
      <c r="J53" s="476" t="s">
        <v>347</v>
      </c>
      <c r="K53" s="460" t="s">
        <v>149</v>
      </c>
      <c r="L53" s="119">
        <v>10</v>
      </c>
      <c r="M53" s="119">
        <v>20</v>
      </c>
      <c r="N53" s="119">
        <v>40</v>
      </c>
      <c r="O53" s="119">
        <v>50</v>
      </c>
    </row>
    <row r="54" spans="1:15" ht="97.5" customHeight="1" thickBot="1">
      <c r="A54" s="441">
        <v>4</v>
      </c>
      <c r="B54" s="444">
        <v>5</v>
      </c>
      <c r="C54" s="459" t="s">
        <v>348</v>
      </c>
      <c r="D54" s="461" t="s">
        <v>338</v>
      </c>
      <c r="E54" s="462" t="s">
        <v>349</v>
      </c>
      <c r="F54" s="445"/>
      <c r="G54" s="465">
        <v>875939.3124999999</v>
      </c>
      <c r="H54" s="463">
        <f>G54*1%+G54</f>
        <v>884698.7056249998</v>
      </c>
      <c r="I54" s="464">
        <f>G54*2%+G54</f>
        <v>893458.0987499999</v>
      </c>
      <c r="J54" s="477" t="s">
        <v>350</v>
      </c>
      <c r="K54" s="461" t="s">
        <v>246</v>
      </c>
      <c r="L54" s="478">
        <v>26000</v>
      </c>
      <c r="M54" s="479">
        <v>26016</v>
      </c>
      <c r="N54" s="479">
        <v>26020</v>
      </c>
      <c r="O54" s="479">
        <v>26031</v>
      </c>
    </row>
    <row r="55" spans="1:15" s="455" customFormat="1" ht="16.5" thickBot="1">
      <c r="A55" s="451"/>
      <c r="B55" s="452"/>
      <c r="C55" s="446" t="s">
        <v>160</v>
      </c>
      <c r="D55" s="447"/>
      <c r="E55" s="448"/>
      <c r="F55" s="449"/>
      <c r="G55" s="468">
        <f>SUM(G51:G54)</f>
        <v>1225748.0554999998</v>
      </c>
      <c r="H55" s="468">
        <f>SUM(H51:H54)</f>
        <v>1238005.5360549998</v>
      </c>
      <c r="I55" s="468">
        <f>SUM(I51:I54)</f>
        <v>1250263.0166099998</v>
      </c>
      <c r="J55" s="448"/>
      <c r="K55" s="449"/>
      <c r="L55" s="450"/>
      <c r="M55" s="453"/>
      <c r="N55" s="454"/>
      <c r="O55" s="453"/>
    </row>
    <row r="56" spans="1:15" ht="114.75" customHeight="1">
      <c r="A56" s="228">
        <v>5</v>
      </c>
      <c r="B56" s="236">
        <v>1</v>
      </c>
      <c r="C56" s="84" t="s">
        <v>34</v>
      </c>
      <c r="D56" s="89" t="s">
        <v>206</v>
      </c>
      <c r="E56" s="84" t="s">
        <v>207</v>
      </c>
      <c r="F56" s="114"/>
      <c r="G56" s="466">
        <v>199868.8</v>
      </c>
      <c r="H56" s="467">
        <v>204215.7</v>
      </c>
      <c r="I56" s="467">
        <v>211823.8</v>
      </c>
      <c r="J56" s="90" t="s">
        <v>208</v>
      </c>
      <c r="K56" s="108" t="s">
        <v>149</v>
      </c>
      <c r="L56" s="109">
        <v>60</v>
      </c>
      <c r="M56" s="109">
        <v>65</v>
      </c>
      <c r="N56" s="129">
        <v>68</v>
      </c>
      <c r="O56" s="109">
        <v>70</v>
      </c>
    </row>
    <row r="57" spans="1:15" ht="99.75">
      <c r="A57" s="228">
        <v>5</v>
      </c>
      <c r="B57" s="236">
        <v>2</v>
      </c>
      <c r="C57" s="90" t="s">
        <v>209</v>
      </c>
      <c r="D57" s="87" t="s">
        <v>210</v>
      </c>
      <c r="E57" s="93" t="s">
        <v>207</v>
      </c>
      <c r="F57" s="222"/>
      <c r="G57" s="130">
        <v>200139.8</v>
      </c>
      <c r="H57" s="130">
        <v>202141.2</v>
      </c>
      <c r="I57" s="130">
        <v>204142.6</v>
      </c>
      <c r="J57" s="86" t="s">
        <v>211</v>
      </c>
      <c r="K57" s="108" t="s">
        <v>149</v>
      </c>
      <c r="L57" s="121">
        <v>0.42</v>
      </c>
      <c r="M57" s="121">
        <v>0.42</v>
      </c>
      <c r="N57" s="131">
        <v>0.45</v>
      </c>
      <c r="O57" s="121">
        <v>0.45</v>
      </c>
    </row>
    <row r="58" spans="1:15" ht="75.75" customHeight="1">
      <c r="A58" s="841">
        <v>5</v>
      </c>
      <c r="B58" s="757">
        <v>3</v>
      </c>
      <c r="C58" s="824" t="s">
        <v>212</v>
      </c>
      <c r="D58" s="814" t="s">
        <v>210</v>
      </c>
      <c r="E58" s="773" t="s">
        <v>207</v>
      </c>
      <c r="F58" s="818" t="s">
        <v>213</v>
      </c>
      <c r="G58" s="733">
        <v>0</v>
      </c>
      <c r="H58" s="733">
        <v>0</v>
      </c>
      <c r="I58" s="733">
        <v>0</v>
      </c>
      <c r="J58" s="86" t="s">
        <v>214</v>
      </c>
      <c r="K58" s="108" t="s">
        <v>149</v>
      </c>
      <c r="L58" s="121">
        <v>0.16</v>
      </c>
      <c r="M58" s="121">
        <v>0.16</v>
      </c>
      <c r="N58" s="121">
        <v>0.16</v>
      </c>
      <c r="O58" s="121">
        <v>0.16</v>
      </c>
    </row>
    <row r="59" spans="1:15" ht="99.75">
      <c r="A59" s="842"/>
      <c r="B59" s="843"/>
      <c r="C59" s="824"/>
      <c r="D59" s="815"/>
      <c r="E59" s="774"/>
      <c r="F59" s="819"/>
      <c r="G59" s="734"/>
      <c r="H59" s="734"/>
      <c r="I59" s="734"/>
      <c r="J59" s="86" t="s">
        <v>215</v>
      </c>
      <c r="K59" s="108" t="s">
        <v>149</v>
      </c>
      <c r="L59" s="121">
        <v>0.2</v>
      </c>
      <c r="M59" s="121">
        <v>0.25</v>
      </c>
      <c r="N59" s="121">
        <v>0.25</v>
      </c>
      <c r="O59" s="121">
        <v>0.25</v>
      </c>
    </row>
    <row r="60" spans="1:15" ht="64.5" customHeight="1">
      <c r="A60" s="841">
        <v>5</v>
      </c>
      <c r="B60" s="757">
        <v>4</v>
      </c>
      <c r="C60" s="824" t="s">
        <v>216</v>
      </c>
      <c r="D60" s="814" t="s">
        <v>210</v>
      </c>
      <c r="E60" s="773" t="s">
        <v>207</v>
      </c>
      <c r="F60" s="1079"/>
      <c r="G60" s="733">
        <v>171158.5</v>
      </c>
      <c r="H60" s="733">
        <f>153550.6+19319.5</f>
        <v>172870.1</v>
      </c>
      <c r="I60" s="733">
        <f>155070.9+19510.8</f>
        <v>174581.69999999998</v>
      </c>
      <c r="J60" s="90" t="s">
        <v>217</v>
      </c>
      <c r="K60" s="108" t="s">
        <v>149</v>
      </c>
      <c r="L60" s="121">
        <v>0.2</v>
      </c>
      <c r="M60" s="121">
        <v>0.25</v>
      </c>
      <c r="N60" s="131">
        <v>0.25</v>
      </c>
      <c r="O60" s="121">
        <v>0.25</v>
      </c>
    </row>
    <row r="61" spans="1:15" ht="42.75">
      <c r="A61" s="842"/>
      <c r="B61" s="843"/>
      <c r="C61" s="824"/>
      <c r="D61" s="815"/>
      <c r="E61" s="774"/>
      <c r="F61" s="819"/>
      <c r="G61" s="734"/>
      <c r="H61" s="734"/>
      <c r="I61" s="734"/>
      <c r="J61" s="90" t="s">
        <v>218</v>
      </c>
      <c r="K61" s="108" t="s">
        <v>149</v>
      </c>
      <c r="L61" s="121">
        <v>0.16</v>
      </c>
      <c r="M61" s="121">
        <v>0.18</v>
      </c>
      <c r="N61" s="131">
        <v>0.18</v>
      </c>
      <c r="O61" s="121">
        <v>0.18</v>
      </c>
    </row>
    <row r="62" spans="1:15" ht="75">
      <c r="A62" s="228">
        <v>5</v>
      </c>
      <c r="B62" s="237">
        <v>5</v>
      </c>
      <c r="C62" s="90" t="s">
        <v>219</v>
      </c>
      <c r="D62" s="141" t="s">
        <v>210</v>
      </c>
      <c r="E62" s="94" t="s">
        <v>207</v>
      </c>
      <c r="F62" s="153"/>
      <c r="G62" s="127">
        <v>0</v>
      </c>
      <c r="H62" s="127">
        <v>0</v>
      </c>
      <c r="I62" s="127">
        <v>0</v>
      </c>
      <c r="J62" s="90" t="s">
        <v>220</v>
      </c>
      <c r="K62" s="108" t="s">
        <v>192</v>
      </c>
      <c r="L62" s="126"/>
      <c r="M62" s="126" t="s">
        <v>183</v>
      </c>
      <c r="N62" s="126" t="s">
        <v>183</v>
      </c>
      <c r="O62" s="126" t="s">
        <v>183</v>
      </c>
    </row>
    <row r="63" spans="1:15" ht="15.75">
      <c r="A63" s="484"/>
      <c r="B63" s="236"/>
      <c r="C63" s="162" t="s">
        <v>160</v>
      </c>
      <c r="D63" s="163"/>
      <c r="E63" s="162"/>
      <c r="F63" s="164"/>
      <c r="G63" s="165">
        <f>G57+G58+G60+G62</f>
        <v>371298.3</v>
      </c>
      <c r="H63" s="165">
        <f>H57+H58+H60+H62</f>
        <v>375011.30000000005</v>
      </c>
      <c r="I63" s="165">
        <f>I57+I58+I60+I62</f>
        <v>378724.3</v>
      </c>
      <c r="J63" s="171"/>
      <c r="K63" s="176"/>
      <c r="L63" s="168"/>
      <c r="M63" s="168"/>
      <c r="N63" s="169"/>
      <c r="O63" s="168"/>
    </row>
    <row r="64" spans="1:15" ht="99.75">
      <c r="A64" s="841">
        <v>6</v>
      </c>
      <c r="B64" s="757">
        <v>1</v>
      </c>
      <c r="C64" s="1077" t="s">
        <v>35</v>
      </c>
      <c r="D64" s="741" t="s">
        <v>206</v>
      </c>
      <c r="E64" s="741" t="s">
        <v>207</v>
      </c>
      <c r="F64" s="741"/>
      <c r="G64" s="735">
        <v>704208</v>
      </c>
      <c r="H64" s="735">
        <v>719489.3</v>
      </c>
      <c r="I64" s="735">
        <v>746329.6</v>
      </c>
      <c r="J64" s="92" t="s">
        <v>77</v>
      </c>
      <c r="K64" s="132" t="s">
        <v>149</v>
      </c>
      <c r="L64" s="111">
        <v>72</v>
      </c>
      <c r="M64" s="111">
        <v>75</v>
      </c>
      <c r="N64" s="112">
        <v>78</v>
      </c>
      <c r="O64" s="111">
        <v>80</v>
      </c>
    </row>
    <row r="65" spans="1:15" ht="99.75">
      <c r="A65" s="842"/>
      <c r="B65" s="843"/>
      <c r="C65" s="1078"/>
      <c r="D65" s="742"/>
      <c r="E65" s="742"/>
      <c r="F65" s="742"/>
      <c r="G65" s="736"/>
      <c r="H65" s="736"/>
      <c r="I65" s="736"/>
      <c r="J65" s="92" t="s">
        <v>78</v>
      </c>
      <c r="K65" s="108" t="s">
        <v>149</v>
      </c>
      <c r="L65" s="111">
        <v>75</v>
      </c>
      <c r="M65" s="111">
        <v>77</v>
      </c>
      <c r="N65" s="112">
        <v>79</v>
      </c>
      <c r="O65" s="111">
        <v>81</v>
      </c>
    </row>
    <row r="66" spans="1:15" ht="156.75">
      <c r="A66" s="841">
        <v>6</v>
      </c>
      <c r="B66" s="757">
        <v>2</v>
      </c>
      <c r="C66" s="743" t="s">
        <v>221</v>
      </c>
      <c r="D66" s="749" t="s">
        <v>210</v>
      </c>
      <c r="E66" s="743" t="s">
        <v>207</v>
      </c>
      <c r="F66" s="765" t="s">
        <v>222</v>
      </c>
      <c r="G66" s="733">
        <f>3116822.3+334253</f>
        <v>3451075.3</v>
      </c>
      <c r="H66" s="733">
        <f>3147990.5+337595.5</f>
        <v>3485586</v>
      </c>
      <c r="I66" s="733">
        <f>3179158.7+340938.1</f>
        <v>3520096.8000000003</v>
      </c>
      <c r="J66" s="86" t="s">
        <v>223</v>
      </c>
      <c r="K66" s="108" t="s">
        <v>149</v>
      </c>
      <c r="L66" s="121">
        <v>0.8</v>
      </c>
      <c r="M66" s="121">
        <v>0.85</v>
      </c>
      <c r="N66" s="131">
        <v>0.85</v>
      </c>
      <c r="O66" s="121">
        <v>0.85</v>
      </c>
    </row>
    <row r="67" spans="1:15" ht="125.25" customHeight="1">
      <c r="A67" s="842"/>
      <c r="B67" s="843"/>
      <c r="C67" s="751"/>
      <c r="D67" s="750"/>
      <c r="E67" s="751"/>
      <c r="F67" s="791"/>
      <c r="G67" s="734"/>
      <c r="H67" s="734"/>
      <c r="I67" s="734"/>
      <c r="J67" s="86" t="s">
        <v>224</v>
      </c>
      <c r="K67" s="108" t="s">
        <v>149</v>
      </c>
      <c r="L67" s="121">
        <v>0.5</v>
      </c>
      <c r="M67" s="121">
        <v>0.55</v>
      </c>
      <c r="N67" s="131">
        <v>0.55</v>
      </c>
      <c r="O67" s="121">
        <v>0.55</v>
      </c>
    </row>
    <row r="68" spans="1:15" ht="90.75" customHeight="1">
      <c r="A68" s="841">
        <v>6</v>
      </c>
      <c r="B68" s="757">
        <v>3</v>
      </c>
      <c r="C68" s="824" t="s">
        <v>225</v>
      </c>
      <c r="D68" s="794" t="s">
        <v>210</v>
      </c>
      <c r="E68" s="765" t="s">
        <v>207</v>
      </c>
      <c r="F68" s="765" t="s">
        <v>222</v>
      </c>
      <c r="G68" s="733">
        <v>686597</v>
      </c>
      <c r="H68" s="733">
        <v>693463</v>
      </c>
      <c r="I68" s="733">
        <v>700328.9</v>
      </c>
      <c r="J68" s="773" t="s">
        <v>226</v>
      </c>
      <c r="K68" s="765" t="s">
        <v>149</v>
      </c>
      <c r="L68" s="1075">
        <v>0.3</v>
      </c>
      <c r="M68" s="1075">
        <v>0.3</v>
      </c>
      <c r="N68" s="1075">
        <v>0.32</v>
      </c>
      <c r="O68" s="1075">
        <v>0.32</v>
      </c>
    </row>
    <row r="69" spans="1:15" ht="15.75" customHeight="1" hidden="1">
      <c r="A69" s="842"/>
      <c r="B69" s="758"/>
      <c r="C69" s="824"/>
      <c r="D69" s="797"/>
      <c r="E69" s="791"/>
      <c r="F69" s="791"/>
      <c r="G69" s="734"/>
      <c r="H69" s="734"/>
      <c r="I69" s="734"/>
      <c r="J69" s="774"/>
      <c r="K69" s="791"/>
      <c r="L69" s="1076"/>
      <c r="M69" s="1076"/>
      <c r="N69" s="1076"/>
      <c r="O69" s="1076"/>
    </row>
    <row r="70" spans="1:15" ht="15.75">
      <c r="A70" s="482"/>
      <c r="B70" s="483"/>
      <c r="C70" s="162" t="s">
        <v>160</v>
      </c>
      <c r="D70" s="163"/>
      <c r="E70" s="162"/>
      <c r="F70" s="225"/>
      <c r="G70" s="165">
        <f>G66+G68</f>
        <v>4137672.3</v>
      </c>
      <c r="H70" s="165">
        <f>H66+H68</f>
        <v>4179049</v>
      </c>
      <c r="I70" s="165">
        <f>I66+I68</f>
        <v>4220425.7</v>
      </c>
      <c r="J70" s="171"/>
      <c r="K70" s="174"/>
      <c r="L70" s="167"/>
      <c r="M70" s="167"/>
      <c r="N70" s="175"/>
      <c r="O70" s="167"/>
    </row>
    <row r="71" spans="1:15" ht="190.5" customHeight="1">
      <c r="A71" s="841">
        <v>7</v>
      </c>
      <c r="B71" s="757">
        <v>1</v>
      </c>
      <c r="C71" s="823" t="s">
        <v>36</v>
      </c>
      <c r="D71" s="794" t="s">
        <v>206</v>
      </c>
      <c r="E71" s="798" t="s">
        <v>207</v>
      </c>
      <c r="F71" s="835"/>
      <c r="G71" s="739"/>
      <c r="H71" s="739"/>
      <c r="I71" s="739"/>
      <c r="J71" s="773" t="s">
        <v>31</v>
      </c>
      <c r="K71" s="765" t="s">
        <v>149</v>
      </c>
      <c r="L71" s="1073">
        <v>100</v>
      </c>
      <c r="M71" s="1071">
        <v>100</v>
      </c>
      <c r="N71" s="1073">
        <v>100</v>
      </c>
      <c r="O71" s="1073">
        <v>100</v>
      </c>
    </row>
    <row r="72" spans="1:15" ht="57" customHeight="1" hidden="1">
      <c r="A72" s="842"/>
      <c r="B72" s="843"/>
      <c r="C72" s="823"/>
      <c r="D72" s="797"/>
      <c r="E72" s="800"/>
      <c r="F72" s="803"/>
      <c r="G72" s="740"/>
      <c r="H72" s="740"/>
      <c r="I72" s="740"/>
      <c r="J72" s="774"/>
      <c r="K72" s="791"/>
      <c r="L72" s="1074"/>
      <c r="M72" s="1072"/>
      <c r="N72" s="1074"/>
      <c r="O72" s="1074"/>
    </row>
    <row r="73" spans="1:15" ht="46.5" customHeight="1">
      <c r="A73" s="841">
        <v>7</v>
      </c>
      <c r="B73" s="757">
        <v>2</v>
      </c>
      <c r="C73" s="824" t="s">
        <v>227</v>
      </c>
      <c r="D73" s="749" t="s">
        <v>165</v>
      </c>
      <c r="E73" s="743" t="s">
        <v>162</v>
      </c>
      <c r="F73" s="818"/>
      <c r="G73" s="1068">
        <v>39636.8</v>
      </c>
      <c r="H73" s="1068">
        <v>40033.2</v>
      </c>
      <c r="I73" s="1068">
        <v>40429.5</v>
      </c>
      <c r="J73" s="95" t="s">
        <v>228</v>
      </c>
      <c r="K73" s="108" t="s">
        <v>170</v>
      </c>
      <c r="L73" s="110">
        <v>9</v>
      </c>
      <c r="M73" s="110" t="s">
        <v>183</v>
      </c>
      <c r="N73" s="110" t="s">
        <v>183</v>
      </c>
      <c r="O73" s="110" t="s">
        <v>183</v>
      </c>
    </row>
    <row r="74" spans="1:15" ht="60.75" customHeight="1">
      <c r="A74" s="842"/>
      <c r="B74" s="758"/>
      <c r="C74" s="824"/>
      <c r="D74" s="830"/>
      <c r="E74" s="837"/>
      <c r="F74" s="834"/>
      <c r="G74" s="1069"/>
      <c r="H74" s="1069"/>
      <c r="I74" s="1069"/>
      <c r="J74" s="96" t="s">
        <v>229</v>
      </c>
      <c r="K74" s="108" t="s">
        <v>168</v>
      </c>
      <c r="L74" s="110">
        <v>2551</v>
      </c>
      <c r="M74" s="110" t="s">
        <v>183</v>
      </c>
      <c r="N74" s="110" t="s">
        <v>183</v>
      </c>
      <c r="O74" s="110" t="s">
        <v>183</v>
      </c>
    </row>
    <row r="75" spans="1:15" ht="55.5" customHeight="1">
      <c r="A75" s="842"/>
      <c r="B75" s="758"/>
      <c r="C75" s="824"/>
      <c r="D75" s="830"/>
      <c r="E75" s="837"/>
      <c r="F75" s="834"/>
      <c r="G75" s="1069"/>
      <c r="H75" s="1069"/>
      <c r="I75" s="1069"/>
      <c r="J75" s="92" t="s">
        <v>230</v>
      </c>
      <c r="K75" s="108" t="s">
        <v>170</v>
      </c>
      <c r="L75" s="110">
        <v>42</v>
      </c>
      <c r="M75" s="110" t="s">
        <v>183</v>
      </c>
      <c r="N75" s="110" t="s">
        <v>183</v>
      </c>
      <c r="O75" s="110" t="s">
        <v>183</v>
      </c>
    </row>
    <row r="76" spans="1:15" ht="60.75" customHeight="1">
      <c r="A76" s="842"/>
      <c r="B76" s="843"/>
      <c r="C76" s="824"/>
      <c r="D76" s="750"/>
      <c r="E76" s="751"/>
      <c r="F76" s="819"/>
      <c r="G76" s="1070"/>
      <c r="H76" s="1070"/>
      <c r="I76" s="1070"/>
      <c r="J76" s="96" t="s">
        <v>231</v>
      </c>
      <c r="K76" s="108" t="s">
        <v>168</v>
      </c>
      <c r="L76" s="110">
        <v>4427</v>
      </c>
      <c r="M76" s="110" t="s">
        <v>183</v>
      </c>
      <c r="N76" s="110" t="s">
        <v>183</v>
      </c>
      <c r="O76" s="110" t="s">
        <v>183</v>
      </c>
    </row>
    <row r="77" spans="1:15" ht="128.25">
      <c r="A77" s="841">
        <v>7</v>
      </c>
      <c r="B77" s="757">
        <v>3</v>
      </c>
      <c r="C77" s="824" t="s">
        <v>232</v>
      </c>
      <c r="D77" s="798" t="s">
        <v>210</v>
      </c>
      <c r="E77" s="743" t="s">
        <v>207</v>
      </c>
      <c r="F77" s="154"/>
      <c r="G77" s="733">
        <f>1061.8+359.5</f>
        <v>1421.3</v>
      </c>
      <c r="H77" s="733">
        <f>1072.4+363</f>
        <v>1435.4</v>
      </c>
      <c r="I77" s="733">
        <f>1083+366.8</f>
        <v>1449.8</v>
      </c>
      <c r="J77" s="86" t="s">
        <v>233</v>
      </c>
      <c r="K77" s="108" t="s">
        <v>170</v>
      </c>
      <c r="L77" s="110" t="s">
        <v>183</v>
      </c>
      <c r="M77" s="110" t="s">
        <v>183</v>
      </c>
      <c r="N77" s="110" t="s">
        <v>183</v>
      </c>
      <c r="O77" s="110" t="s">
        <v>183</v>
      </c>
    </row>
    <row r="78" spans="1:15" ht="128.25">
      <c r="A78" s="842"/>
      <c r="B78" s="843"/>
      <c r="C78" s="824"/>
      <c r="D78" s="800"/>
      <c r="E78" s="751"/>
      <c r="F78" s="221"/>
      <c r="G78" s="734"/>
      <c r="H78" s="734"/>
      <c r="I78" s="734"/>
      <c r="J78" s="86" t="s">
        <v>234</v>
      </c>
      <c r="K78" s="108" t="s">
        <v>170</v>
      </c>
      <c r="L78" s="110" t="s">
        <v>183</v>
      </c>
      <c r="M78" s="110" t="s">
        <v>183</v>
      </c>
      <c r="N78" s="110" t="s">
        <v>183</v>
      </c>
      <c r="O78" s="110" t="s">
        <v>183</v>
      </c>
    </row>
    <row r="79" spans="1:15" ht="15.75">
      <c r="A79" s="484"/>
      <c r="B79" s="230"/>
      <c r="C79" s="162" t="s">
        <v>160</v>
      </c>
      <c r="D79" s="163"/>
      <c r="E79" s="162"/>
      <c r="F79" s="164"/>
      <c r="G79" s="165">
        <f>G73+G77</f>
        <v>41058.100000000006</v>
      </c>
      <c r="H79" s="165">
        <f>H73+H77</f>
        <v>41468.6</v>
      </c>
      <c r="I79" s="165">
        <f>I73+I77</f>
        <v>41879.3</v>
      </c>
      <c r="J79" s="171"/>
      <c r="K79" s="176"/>
      <c r="L79" s="168"/>
      <c r="M79" s="168"/>
      <c r="N79" s="169"/>
      <c r="O79" s="168"/>
    </row>
    <row r="80" spans="1:15" ht="105" customHeight="1">
      <c r="A80" s="228"/>
      <c r="B80" s="236"/>
      <c r="C80" s="84" t="s">
        <v>37</v>
      </c>
      <c r="D80" s="91" t="s">
        <v>206</v>
      </c>
      <c r="E80" s="97" t="s">
        <v>235</v>
      </c>
      <c r="F80" s="114"/>
      <c r="G80" s="118"/>
      <c r="H80" s="118"/>
      <c r="I80" s="118"/>
      <c r="J80" s="86" t="s">
        <v>241</v>
      </c>
      <c r="K80" s="108" t="s">
        <v>149</v>
      </c>
      <c r="L80" s="111">
        <v>1</v>
      </c>
      <c r="M80" s="111">
        <v>1.2</v>
      </c>
      <c r="N80" s="112">
        <v>1.2</v>
      </c>
      <c r="O80" s="111">
        <v>1.2</v>
      </c>
    </row>
    <row r="81" spans="1:15" ht="99.75">
      <c r="A81" s="228">
        <v>8</v>
      </c>
      <c r="B81" s="236">
        <v>1</v>
      </c>
      <c r="C81" s="90" t="s">
        <v>96</v>
      </c>
      <c r="D81" s="142" t="s">
        <v>236</v>
      </c>
      <c r="E81" s="90" t="s">
        <v>235</v>
      </c>
      <c r="F81" s="108"/>
      <c r="G81" s="130">
        <v>153855.5</v>
      </c>
      <c r="H81" s="130">
        <v>155394.1</v>
      </c>
      <c r="I81" s="130">
        <v>156932.6</v>
      </c>
      <c r="J81" s="86" t="s">
        <v>237</v>
      </c>
      <c r="K81" s="108" t="s">
        <v>149</v>
      </c>
      <c r="L81" s="111">
        <v>65</v>
      </c>
      <c r="M81" s="111">
        <v>70</v>
      </c>
      <c r="N81" s="112">
        <v>70</v>
      </c>
      <c r="O81" s="111">
        <v>70</v>
      </c>
    </row>
    <row r="82" spans="1:15" ht="45" customHeight="1">
      <c r="A82" s="847">
        <v>8</v>
      </c>
      <c r="B82" s="757">
        <v>1</v>
      </c>
      <c r="C82" s="840" t="s">
        <v>38</v>
      </c>
      <c r="D82" s="794" t="s">
        <v>236</v>
      </c>
      <c r="E82" s="743" t="s">
        <v>235</v>
      </c>
      <c r="F82" s="765" t="s">
        <v>222</v>
      </c>
      <c r="G82" s="1064">
        <v>1800</v>
      </c>
      <c r="H82" s="1064">
        <f>1727.1+90.9</f>
        <v>1818</v>
      </c>
      <c r="I82" s="1064">
        <f>1744.2+91.8</f>
        <v>1836</v>
      </c>
      <c r="J82" s="92" t="s">
        <v>238</v>
      </c>
      <c r="K82" s="154" t="s">
        <v>149</v>
      </c>
      <c r="L82" s="173" t="s">
        <v>239</v>
      </c>
      <c r="M82" s="173" t="s">
        <v>239</v>
      </c>
      <c r="N82" s="173" t="s">
        <v>239</v>
      </c>
      <c r="O82" s="173" t="s">
        <v>239</v>
      </c>
    </row>
    <row r="83" spans="1:15" ht="57">
      <c r="A83" s="848"/>
      <c r="B83" s="758"/>
      <c r="C83" s="840"/>
      <c r="D83" s="827"/>
      <c r="E83" s="837"/>
      <c r="F83" s="766"/>
      <c r="G83" s="1065"/>
      <c r="H83" s="1065"/>
      <c r="I83" s="1065"/>
      <c r="J83" s="178" t="s">
        <v>240</v>
      </c>
      <c r="K83" s="150" t="s">
        <v>170</v>
      </c>
      <c r="L83" s="184">
        <v>2</v>
      </c>
      <c r="M83" s="184">
        <v>2</v>
      </c>
      <c r="N83" s="184">
        <v>2</v>
      </c>
      <c r="O83" s="173">
        <v>2</v>
      </c>
    </row>
    <row r="84" spans="1:15" ht="15.75">
      <c r="A84" s="1067"/>
      <c r="B84" s="1067"/>
      <c r="C84" s="840"/>
      <c r="D84" s="797"/>
      <c r="E84" s="751"/>
      <c r="F84" s="791"/>
      <c r="G84" s="1066"/>
      <c r="H84" s="1066"/>
      <c r="I84" s="1066"/>
      <c r="J84" s="179"/>
      <c r="K84" s="181"/>
      <c r="L84" s="185"/>
      <c r="M84" s="185"/>
      <c r="N84" s="185"/>
      <c r="O84" s="183"/>
    </row>
    <row r="85" spans="1:15" ht="15.75">
      <c r="A85" s="482"/>
      <c r="B85" s="483"/>
      <c r="C85" s="162" t="s">
        <v>160</v>
      </c>
      <c r="D85" s="163"/>
      <c r="E85" s="162"/>
      <c r="F85" s="164"/>
      <c r="G85" s="165">
        <f>G81+G82</f>
        <v>155655.5</v>
      </c>
      <c r="H85" s="165">
        <f>H81+H82</f>
        <v>157212.1</v>
      </c>
      <c r="I85" s="165">
        <f>I81+I82</f>
        <v>158768.6</v>
      </c>
      <c r="J85" s="177"/>
      <c r="K85" s="180"/>
      <c r="L85" s="182"/>
      <c r="M85" s="182"/>
      <c r="N85" s="186"/>
      <c r="O85" s="182"/>
    </row>
    <row r="86" spans="1:15" ht="15.75">
      <c r="A86" s="482"/>
      <c r="B86" s="483"/>
      <c r="C86" s="98" t="s">
        <v>105</v>
      </c>
      <c r="D86" s="143"/>
      <c r="E86" s="98"/>
      <c r="F86" s="155"/>
      <c r="G86" s="117">
        <f>G23+G37+G49+G63+G70+G79+G85+G55</f>
        <v>26993229.155500002</v>
      </c>
      <c r="H86" s="117">
        <f>H23+H37+H49+H63+H70+H79+H85+H55</f>
        <v>26914055.393055003</v>
      </c>
      <c r="I86" s="117">
        <f>I23+I37+I49+I63+I70+I79+I85+I55</f>
        <v>26952181.730610006</v>
      </c>
      <c r="J86" s="88"/>
      <c r="K86" s="114"/>
      <c r="L86" s="110"/>
      <c r="M86" s="111"/>
      <c r="N86" s="112"/>
      <c r="O86" s="111"/>
    </row>
    <row r="87" spans="2:9" ht="15.75">
      <c r="B87" s="101"/>
      <c r="C87" s="231"/>
      <c r="D87" s="425"/>
      <c r="E87" s="426"/>
      <c r="F87" s="427"/>
      <c r="G87" s="428"/>
      <c r="H87" s="428">
        <f>H86/G86*100</f>
        <v>99.706690288928</v>
      </c>
      <c r="I87" s="429">
        <f>I86/H86*100</f>
        <v>100.14165957897538</v>
      </c>
    </row>
    <row r="88" spans="3:9" ht="15.75">
      <c r="C88" s="231"/>
      <c r="D88" s="425"/>
      <c r="E88" s="426" t="s">
        <v>269</v>
      </c>
      <c r="F88" s="427">
        <f>F90+F91+F92+F93</f>
        <v>18148057.7</v>
      </c>
      <c r="G88" s="428">
        <f>G86-F89</f>
        <v>11108000.255500002</v>
      </c>
      <c r="H88" s="428">
        <v>450474.30000000005</v>
      </c>
      <c r="I88" s="428"/>
    </row>
    <row r="89" spans="3:9" ht="15.75">
      <c r="C89" s="231"/>
      <c r="D89" s="425"/>
      <c r="E89" s="426" t="s">
        <v>272</v>
      </c>
      <c r="F89" s="427">
        <f>F90+F92+F93</f>
        <v>15885228.9</v>
      </c>
      <c r="G89" s="428"/>
      <c r="H89" s="428">
        <v>1242717.6</v>
      </c>
      <c r="I89" s="428">
        <v>204600</v>
      </c>
    </row>
    <row r="90" spans="3:9" ht="15.75">
      <c r="C90" s="231"/>
      <c r="D90" s="425"/>
      <c r="E90" s="426" t="s">
        <v>265</v>
      </c>
      <c r="F90" s="427">
        <v>14827903.9</v>
      </c>
      <c r="G90" s="428"/>
      <c r="H90" s="430">
        <v>11299988.399999999</v>
      </c>
      <c r="I90" s="427">
        <v>373000</v>
      </c>
    </row>
    <row r="91" spans="4:9" ht="15.75">
      <c r="D91" s="425"/>
      <c r="E91" s="426" t="s">
        <v>266</v>
      </c>
      <c r="F91" s="427">
        <f>1976359.6+286469.2</f>
        <v>2262828.8000000003</v>
      </c>
      <c r="G91" s="428"/>
      <c r="H91" s="431">
        <v>204239.8</v>
      </c>
      <c r="I91" s="427">
        <v>177611.2</v>
      </c>
    </row>
    <row r="92" spans="4:9" ht="15.75">
      <c r="D92" s="425"/>
      <c r="E92" s="426" t="s">
        <v>270</v>
      </c>
      <c r="F92" s="427">
        <v>1030925</v>
      </c>
      <c r="G92" s="428"/>
      <c r="H92" s="432">
        <v>702993.2</v>
      </c>
      <c r="I92" s="427"/>
    </row>
    <row r="93" spans="4:9" ht="15.75">
      <c r="D93" s="425"/>
      <c r="E93" s="426" t="s">
        <v>271</v>
      </c>
      <c r="F93" s="427">
        <v>26400</v>
      </c>
      <c r="G93" s="428"/>
      <c r="H93" s="433">
        <v>19123.9</v>
      </c>
      <c r="I93" s="427"/>
    </row>
    <row r="94" spans="4:9" ht="15.75">
      <c r="D94" s="425"/>
      <c r="E94" s="426"/>
      <c r="F94" s="427"/>
      <c r="G94" s="428"/>
      <c r="H94" s="431">
        <v>153155.5</v>
      </c>
      <c r="I94" s="427"/>
    </row>
    <row r="95" spans="4:9" ht="15.75">
      <c r="D95" s="425"/>
      <c r="E95" s="426"/>
      <c r="F95" s="427"/>
      <c r="G95" s="428">
        <v>14827903.9</v>
      </c>
      <c r="H95" s="431">
        <f>SUM(H88:H94)</f>
        <v>14072692.7</v>
      </c>
      <c r="I95" s="431">
        <f>SUM(I88:I94)</f>
        <v>755211.2</v>
      </c>
    </row>
    <row r="96" spans="4:9" ht="15.75">
      <c r="D96" s="425"/>
      <c r="E96" s="426"/>
      <c r="F96" s="427"/>
      <c r="G96" s="428">
        <f>G95-H95-I95</f>
        <v>1.1641532182693481E-09</v>
      </c>
      <c r="H96" s="434"/>
      <c r="I96" s="427"/>
    </row>
    <row r="97" spans="4:9" ht="15.75">
      <c r="D97" s="425"/>
      <c r="E97" s="426">
        <f>F89+F91</f>
        <v>18148057.7</v>
      </c>
      <c r="F97" s="427"/>
      <c r="G97" s="428"/>
      <c r="H97" s="427"/>
      <c r="I97" s="427"/>
    </row>
    <row r="98" spans="4:9" ht="15.75">
      <c r="D98" s="425"/>
      <c r="E98" s="426"/>
      <c r="F98" s="427"/>
      <c r="G98" s="428">
        <f>G95-H95</f>
        <v>755211.2000000011</v>
      </c>
      <c r="H98" s="427"/>
      <c r="I98" s="434"/>
    </row>
    <row r="99" spans="4:9" ht="15.75">
      <c r="D99" s="425"/>
      <c r="E99" s="426"/>
      <c r="F99" s="427"/>
      <c r="G99" s="428">
        <f>G98-I89-I90</f>
        <v>177611.20000000112</v>
      </c>
      <c r="H99" s="427"/>
      <c r="I99" s="427"/>
    </row>
    <row r="100" ht="15.75">
      <c r="H100" s="102"/>
    </row>
  </sheetData>
  <sheetProtection/>
  <mergeCells count="201">
    <mergeCell ref="N13:N14"/>
    <mergeCell ref="O13:O14"/>
    <mergeCell ref="B13:B19"/>
    <mergeCell ref="A13:A19"/>
    <mergeCell ref="H13:H19"/>
    <mergeCell ref="I13:I19"/>
    <mergeCell ref="J13:J14"/>
    <mergeCell ref="K13:K14"/>
    <mergeCell ref="L13:L14"/>
    <mergeCell ref="M13:M14"/>
    <mergeCell ref="C13:C19"/>
    <mergeCell ref="D13:D19"/>
    <mergeCell ref="E13:E19"/>
    <mergeCell ref="F13:F19"/>
    <mergeCell ref="G13:G19"/>
    <mergeCell ref="C9:C11"/>
    <mergeCell ref="D9:D11"/>
    <mergeCell ref="E9:E11"/>
    <mergeCell ref="F9:F11"/>
    <mergeCell ref="G9:I10"/>
    <mergeCell ref="J9:J11"/>
    <mergeCell ref="K9:K11"/>
    <mergeCell ref="L9:L10"/>
    <mergeCell ref="M9:O9"/>
    <mergeCell ref="M10:O10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J26"/>
    <mergeCell ref="K25:K26"/>
    <mergeCell ref="L25:L26"/>
    <mergeCell ref="M25:M26"/>
    <mergeCell ref="N25:N26"/>
    <mergeCell ref="O25:O26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J31:J32"/>
    <mergeCell ref="K31:K32"/>
    <mergeCell ref="L31:L32"/>
    <mergeCell ref="M31:M32"/>
    <mergeCell ref="N31:N32"/>
    <mergeCell ref="O31:O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G35:G36"/>
    <mergeCell ref="H35:H36"/>
    <mergeCell ref="I35:I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I47"/>
    <mergeCell ref="J46:J47"/>
    <mergeCell ref="K46:K47"/>
    <mergeCell ref="L46:L47"/>
    <mergeCell ref="M46:M47"/>
    <mergeCell ref="N46:N47"/>
    <mergeCell ref="O46:O4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A73:A76"/>
    <mergeCell ref="B73:B76"/>
    <mergeCell ref="C73:C76"/>
    <mergeCell ref="D73:D76"/>
    <mergeCell ref="E73:E76"/>
    <mergeCell ref="F73:F76"/>
    <mergeCell ref="G73:G76"/>
    <mergeCell ref="H73:H76"/>
    <mergeCell ref="I73:I76"/>
    <mergeCell ref="A77:A78"/>
    <mergeCell ref="B77:B78"/>
    <mergeCell ref="C77:C78"/>
    <mergeCell ref="D77:D78"/>
    <mergeCell ref="E77:E78"/>
    <mergeCell ref="G77:G78"/>
    <mergeCell ref="H77:H78"/>
    <mergeCell ref="I77:I78"/>
    <mergeCell ref="G82:G84"/>
    <mergeCell ref="H82:H84"/>
    <mergeCell ref="I82:I84"/>
    <mergeCell ref="A82:A84"/>
    <mergeCell ref="B82:B84"/>
    <mergeCell ref="C82:C84"/>
    <mergeCell ref="D82:D84"/>
    <mergeCell ref="E82:E84"/>
    <mergeCell ref="F82:F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9">
      <selection activeCell="A9" sqref="A9:A11"/>
    </sheetView>
  </sheetViews>
  <sheetFormatPr defaultColWidth="9.140625" defaultRowHeight="12.75"/>
  <cols>
    <col min="1" max="1" width="40.7109375" style="144" customWidth="1"/>
    <col min="2" max="2" width="23.00390625" style="82" customWidth="1"/>
    <col min="3" max="3" width="10.28125" style="100" customWidth="1"/>
    <col min="4" max="4" width="11.28125" style="83" customWidth="1"/>
    <col min="5" max="5" width="10.140625" style="83" customWidth="1"/>
    <col min="6" max="6" width="9.7109375" style="83" customWidth="1"/>
    <col min="7" max="7" width="10.140625" style="101" customWidth="1"/>
    <col min="8" max="8" width="9.140625" style="12" hidden="1" customWidth="1"/>
    <col min="9" max="9" width="10.140625" style="101" customWidth="1"/>
    <col min="10" max="10" width="9.140625" style="12" customWidth="1"/>
    <col min="11" max="11" width="12.00390625" style="12" customWidth="1"/>
    <col min="12" max="16384" width="9.140625" style="12" customWidth="1"/>
  </cols>
  <sheetData>
    <row r="1" ht="15.75">
      <c r="A1" s="137"/>
    </row>
    <row r="2" ht="15.75">
      <c r="A2" s="137"/>
    </row>
    <row r="3" spans="1:9" s="10" customFormat="1" ht="14.25">
      <c r="A3" s="138"/>
      <c r="B3" s="103"/>
      <c r="C3" s="103"/>
      <c r="D3" s="83"/>
      <c r="E3" s="83"/>
      <c r="F3" s="83"/>
      <c r="G3" s="83"/>
      <c r="I3" s="83"/>
    </row>
    <row r="4" spans="1:9" s="10" customFormat="1" ht="21" customHeight="1">
      <c r="A4" s="139"/>
      <c r="B4" s="103"/>
      <c r="C4" s="103"/>
      <c r="D4" s="83"/>
      <c r="E4" s="83"/>
      <c r="F4" s="83"/>
      <c r="G4" s="83"/>
      <c r="I4" s="83"/>
    </row>
    <row r="5" ht="15.75">
      <c r="A5" s="101"/>
    </row>
    <row r="6" ht="15.75">
      <c r="A6" s="139" t="s">
        <v>371</v>
      </c>
    </row>
    <row r="7" ht="15.75">
      <c r="A7" s="101" t="s">
        <v>242</v>
      </c>
    </row>
    <row r="8" ht="15.75">
      <c r="A8" s="101"/>
    </row>
    <row r="9" spans="1:9" s="133" customFormat="1" ht="32.25" customHeight="1">
      <c r="A9" s="823" t="s">
        <v>139</v>
      </c>
      <c r="B9" s="798" t="s">
        <v>103</v>
      </c>
      <c r="C9" s="801" t="s">
        <v>136</v>
      </c>
      <c r="D9" s="801" t="s">
        <v>108</v>
      </c>
      <c r="E9" s="708" t="s">
        <v>107</v>
      </c>
      <c r="F9" s="709"/>
      <c r="G9" s="709"/>
      <c r="H9" s="710"/>
      <c r="I9" s="711"/>
    </row>
    <row r="10" spans="1:9" s="133" customFormat="1" ht="15.75">
      <c r="A10" s="823"/>
      <c r="B10" s="799"/>
      <c r="C10" s="802"/>
      <c r="D10" s="803"/>
      <c r="E10" s="708" t="s">
        <v>109</v>
      </c>
      <c r="F10" s="712"/>
      <c r="G10" s="712"/>
      <c r="H10" s="710"/>
      <c r="I10" s="711"/>
    </row>
    <row r="11" spans="1:9" s="133" customFormat="1" ht="28.5" customHeight="1">
      <c r="A11" s="823"/>
      <c r="B11" s="800"/>
      <c r="C11" s="803"/>
      <c r="D11" s="105" t="s">
        <v>145</v>
      </c>
      <c r="E11" s="567" t="s">
        <v>412</v>
      </c>
      <c r="F11" s="567" t="s">
        <v>413</v>
      </c>
      <c r="G11" s="567" t="s">
        <v>335</v>
      </c>
      <c r="I11" s="567" t="s">
        <v>403</v>
      </c>
    </row>
    <row r="12" spans="1:9" ht="105" customHeight="1">
      <c r="A12" s="594" t="s">
        <v>37</v>
      </c>
      <c r="B12" s="86" t="s">
        <v>241</v>
      </c>
      <c r="C12" s="108" t="s">
        <v>149</v>
      </c>
      <c r="D12" s="111">
        <v>1</v>
      </c>
      <c r="E12" s="111">
        <v>1.2</v>
      </c>
      <c r="F12" s="112">
        <v>1.2</v>
      </c>
      <c r="G12" s="111">
        <v>1.2</v>
      </c>
      <c r="I12" s="111">
        <v>1.2</v>
      </c>
    </row>
    <row r="13" spans="1:9" ht="114">
      <c r="A13" s="90" t="s">
        <v>96</v>
      </c>
      <c r="B13" s="86" t="s">
        <v>237</v>
      </c>
      <c r="C13" s="108" t="s">
        <v>149</v>
      </c>
      <c r="D13" s="111">
        <v>65</v>
      </c>
      <c r="E13" s="111">
        <v>70</v>
      </c>
      <c r="F13" s="112">
        <v>70</v>
      </c>
      <c r="G13" s="111">
        <v>70</v>
      </c>
      <c r="I13" s="111">
        <v>70</v>
      </c>
    </row>
    <row r="14" spans="1:9" ht="45" customHeight="1">
      <c r="A14" s="840" t="s">
        <v>38</v>
      </c>
      <c r="B14" s="773" t="s">
        <v>238</v>
      </c>
      <c r="C14" s="773" t="s">
        <v>149</v>
      </c>
      <c r="D14" s="773" t="s">
        <v>408</v>
      </c>
      <c r="E14" s="773" t="s">
        <v>408</v>
      </c>
      <c r="F14" s="773" t="s">
        <v>408</v>
      </c>
      <c r="G14" s="773" t="s">
        <v>408</v>
      </c>
      <c r="H14" s="598"/>
      <c r="I14" s="773" t="s">
        <v>408</v>
      </c>
    </row>
    <row r="15" spans="1:9" ht="42.75" customHeight="1">
      <c r="A15" s="840"/>
      <c r="B15" s="788"/>
      <c r="C15" s="788"/>
      <c r="D15" s="788"/>
      <c r="E15" s="788"/>
      <c r="F15" s="788"/>
      <c r="G15" s="788"/>
      <c r="I15" s="788"/>
    </row>
    <row r="16" spans="1:9" ht="15.75">
      <c r="A16" s="162" t="s">
        <v>160</v>
      </c>
      <c r="B16" s="171"/>
      <c r="C16" s="176"/>
      <c r="D16" s="168"/>
      <c r="E16" s="168"/>
      <c r="F16" s="168"/>
      <c r="G16" s="168"/>
      <c r="I16" s="168"/>
    </row>
    <row r="17" spans="1:9" ht="15.75">
      <c r="A17" s="98" t="s">
        <v>105</v>
      </c>
      <c r="B17" s="88"/>
      <c r="C17" s="114"/>
      <c r="D17" s="110"/>
      <c r="E17" s="111"/>
      <c r="F17" s="112"/>
      <c r="G17" s="111"/>
      <c r="I17" s="111"/>
    </row>
    <row r="18" ht="15.75">
      <c r="A18" s="231"/>
    </row>
    <row r="19" spans="1:2" ht="15.75">
      <c r="A19" s="568"/>
      <c r="B19" s="569"/>
    </row>
    <row r="20" spans="1:2" ht="15.75">
      <c r="A20" s="568"/>
      <c r="B20" s="569"/>
    </row>
    <row r="21" spans="1:2" ht="15.75">
      <c r="A21" s="568"/>
      <c r="B21" s="569"/>
    </row>
    <row r="22" spans="1:2" ht="15.75">
      <c r="A22" s="568"/>
      <c r="B22" s="569"/>
    </row>
    <row r="23" spans="1:2" ht="15.75">
      <c r="A23" s="568"/>
      <c r="B23" s="569"/>
    </row>
    <row r="24" spans="1:2" ht="15.75">
      <c r="A24" s="568"/>
      <c r="B24" s="569"/>
    </row>
    <row r="25" spans="1:2" ht="15.75">
      <c r="A25" s="568"/>
      <c r="B25" s="569"/>
    </row>
    <row r="26" spans="1:2" ht="15.75">
      <c r="A26" s="568"/>
      <c r="B26" s="569"/>
    </row>
    <row r="27" spans="1:2" ht="15.75">
      <c r="A27" s="568"/>
      <c r="B27" s="569"/>
    </row>
    <row r="28" spans="1:2" ht="15.75">
      <c r="A28" s="568"/>
      <c r="B28" s="569"/>
    </row>
    <row r="29" spans="1:2" ht="15.75">
      <c r="A29" s="568"/>
      <c r="B29" s="569"/>
    </row>
    <row r="30" spans="1:2" ht="15.75">
      <c r="A30" s="568"/>
      <c r="B30" s="569"/>
    </row>
    <row r="31" spans="1:2" ht="15.75">
      <c r="A31" s="568"/>
      <c r="B31" s="569"/>
    </row>
  </sheetData>
  <sheetProtection/>
  <mergeCells count="14">
    <mergeCell ref="B9:B11"/>
    <mergeCell ref="F14:F15"/>
    <mergeCell ref="G14:G15"/>
    <mergeCell ref="I14:I15"/>
    <mergeCell ref="B14:B15"/>
    <mergeCell ref="C14:C15"/>
    <mergeCell ref="D14:D15"/>
    <mergeCell ref="E14:E15"/>
    <mergeCell ref="A14:A15"/>
    <mergeCell ref="C9:C11"/>
    <mergeCell ref="D9:D10"/>
    <mergeCell ref="E9:I9"/>
    <mergeCell ref="E10:I10"/>
    <mergeCell ref="A9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Comp_100</cp:lastModifiedBy>
  <cp:lastPrinted>2018-04-23T09:54:07Z</cp:lastPrinted>
  <dcterms:created xsi:type="dcterms:W3CDTF">2012-05-03T04:04:54Z</dcterms:created>
  <dcterms:modified xsi:type="dcterms:W3CDTF">2018-04-27T10:27:39Z</dcterms:modified>
  <cp:category/>
  <cp:version/>
  <cp:contentType/>
  <cp:contentStatus/>
</cp:coreProperties>
</file>